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снт им мичурина\Desktop\"/>
    </mc:Choice>
  </mc:AlternateContent>
  <bookViews>
    <workbookView xWindow="0" yWindow="0" windowWidth="24000" windowHeight="9630" activeTab="2"/>
  </bookViews>
  <sheets>
    <sheet name="Реквизиты" sheetId="1" r:id="rId1"/>
    <sheet name="1 кв-л 2019" sheetId="2" r:id="rId2"/>
    <sheet name="2 кв-л 2019" sheetId="5" r:id="rId3"/>
    <sheet name="Расход по рсч2018" sheetId="3" r:id="rId4"/>
    <sheet name="Лист1" sheetId="4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5" l="1"/>
  <c r="G89" i="5"/>
  <c r="G88" i="5"/>
  <c r="E48" i="5"/>
  <c r="E47" i="5"/>
  <c r="E33" i="5"/>
  <c r="C19" i="5"/>
  <c r="E17" i="5"/>
  <c r="E69" i="5" l="1"/>
  <c r="C12" i="2" l="1"/>
  <c r="E51" i="5" l="1"/>
  <c r="E28" i="5"/>
  <c r="E24" i="5"/>
  <c r="E16" i="5"/>
  <c r="E10" i="5"/>
  <c r="D91" i="5" l="1"/>
  <c r="E90" i="5"/>
  <c r="E89" i="5"/>
  <c r="G76" i="5"/>
  <c r="F76" i="5"/>
  <c r="E76" i="5"/>
  <c r="D76" i="5"/>
  <c r="G66" i="5"/>
  <c r="F66" i="5"/>
  <c r="E66" i="5"/>
  <c r="D66" i="5"/>
  <c r="G58" i="5"/>
  <c r="F58" i="5"/>
  <c r="D58" i="5"/>
  <c r="E58" i="5"/>
  <c r="G52" i="5"/>
  <c r="F52" i="5"/>
  <c r="E52" i="5"/>
  <c r="D52" i="5"/>
  <c r="G44" i="5"/>
  <c r="F44" i="5"/>
  <c r="E44" i="5"/>
  <c r="D44" i="5"/>
  <c r="G36" i="5"/>
  <c r="F36" i="5"/>
  <c r="E36" i="5"/>
  <c r="G29" i="5"/>
  <c r="F29" i="5"/>
  <c r="D29" i="5"/>
  <c r="G25" i="5"/>
  <c r="F25" i="5"/>
  <c r="E25" i="5"/>
  <c r="D25" i="5"/>
  <c r="G19" i="5"/>
  <c r="F19" i="5"/>
  <c r="D19" i="5"/>
  <c r="E18" i="5"/>
  <c r="E19" i="5"/>
  <c r="E80" i="5" l="1"/>
  <c r="D80" i="5"/>
  <c r="G80" i="5"/>
  <c r="F80" i="5"/>
  <c r="H23" i="3"/>
  <c r="H59" i="3"/>
  <c r="H65" i="3" s="1"/>
  <c r="H68" i="3" s="1"/>
  <c r="H61" i="3"/>
  <c r="H60" i="3"/>
  <c r="H64" i="3"/>
  <c r="H56" i="3"/>
  <c r="H52" i="3"/>
  <c r="H47" i="3"/>
  <c r="H46" i="3"/>
  <c r="H43" i="3"/>
  <c r="H39" i="3"/>
  <c r="H35" i="3"/>
  <c r="H34" i="3"/>
  <c r="H33" i="3"/>
  <c r="H30" i="3"/>
  <c r="H27" i="3"/>
  <c r="H24" i="3"/>
  <c r="H22" i="3"/>
  <c r="H21" i="3"/>
  <c r="H18" i="3"/>
  <c r="H16" i="3"/>
  <c r="H15" i="3"/>
  <c r="H12" i="3"/>
  <c r="H7" i="3"/>
  <c r="H11" i="3"/>
  <c r="H9" i="3"/>
  <c r="E87" i="5" l="1"/>
  <c r="C82" i="2"/>
  <c r="E91" i="5" l="1"/>
  <c r="H91" i="5" s="1"/>
  <c r="G87" i="5"/>
  <c r="G91" i="5" s="1"/>
  <c r="C47" i="2"/>
  <c r="C17" i="2" l="1"/>
  <c r="C89" i="2" l="1"/>
  <c r="E76" i="2" l="1"/>
  <c r="D76" i="2"/>
  <c r="C76" i="2"/>
  <c r="B76" i="2"/>
  <c r="E66" i="2"/>
  <c r="D66" i="2"/>
  <c r="C66" i="2"/>
  <c r="B66" i="2"/>
  <c r="E58" i="2"/>
  <c r="D58" i="2"/>
  <c r="B58" i="2"/>
  <c r="E52" i="2"/>
  <c r="D52" i="2"/>
  <c r="B52" i="2"/>
  <c r="E44" i="2"/>
  <c r="D44" i="2"/>
  <c r="C44" i="2"/>
  <c r="B44" i="2"/>
  <c r="E36" i="2"/>
  <c r="D36" i="2"/>
  <c r="C36" i="2"/>
  <c r="B36" i="2"/>
  <c r="E29" i="2"/>
  <c r="B29" i="2"/>
  <c r="E25" i="2"/>
  <c r="D25" i="2"/>
  <c r="B25" i="2"/>
  <c r="E19" i="2"/>
  <c r="D19" i="2"/>
  <c r="B19" i="2"/>
  <c r="C90" i="2"/>
  <c r="B91" i="2"/>
  <c r="D29" i="2"/>
  <c r="C28" i="2"/>
  <c r="C10" i="2"/>
  <c r="D80" i="2" l="1"/>
  <c r="E80" i="2"/>
  <c r="B80" i="2"/>
  <c r="C48" i="2"/>
  <c r="C58" i="2" l="1"/>
  <c r="C52" i="2"/>
  <c r="C25" i="2"/>
  <c r="C16" i="2"/>
  <c r="C6" i="2"/>
  <c r="C18" i="2"/>
  <c r="C11" i="2"/>
  <c r="C9" i="2"/>
  <c r="C8" i="2"/>
  <c r="C7" i="2"/>
  <c r="C19" i="2" l="1"/>
  <c r="C80" i="2" l="1"/>
  <c r="C87" i="2" s="1"/>
  <c r="C91" i="2" s="1"/>
  <c r="F91" i="2" s="1"/>
</calcChain>
</file>

<file path=xl/sharedStrings.xml><?xml version="1.0" encoding="utf-8"?>
<sst xmlns="http://schemas.openxmlformats.org/spreadsheetml/2006/main" count="246" uniqueCount="156">
  <si>
    <t>К А Р Т О Ч К А   О Р Г А Н И З А Ц И И</t>
  </si>
  <si>
    <t>САДОВОДЧЕСКОЕ НЕКОММЕРЧЕСКОЕ ТОВАРИЩЕСТВО</t>
  </si>
  <si>
    <t>(СНТ ИМ. МИЧУРИНА)</t>
  </si>
  <si>
    <t>Адрес:</t>
  </si>
  <si>
    <t>Адрес офиса:</t>
  </si>
  <si>
    <t xml:space="preserve">          150003, Ярославская обл., Ярославль г.,</t>
  </si>
  <si>
    <t xml:space="preserve">           Серго Орджоникидзе уд.,д.1, кв.52</t>
  </si>
  <si>
    <t xml:space="preserve">          Советская ул., д.75</t>
  </si>
  <si>
    <t xml:space="preserve">    ИМ.  МИЧУРИНА</t>
  </si>
  <si>
    <t>Р/ счет:</t>
  </si>
  <si>
    <t>г. Ярославль</t>
  </si>
  <si>
    <t>БИК:</t>
  </si>
  <si>
    <t>К/с:</t>
  </si>
  <si>
    <t xml:space="preserve">           № 30101810300000000760</t>
  </si>
  <si>
    <t>Председатель:</t>
  </si>
  <si>
    <t xml:space="preserve">           Зайцев Вячеслав Александрович</t>
  </si>
  <si>
    <t xml:space="preserve">           №      40703810702000001558 в</t>
  </si>
  <si>
    <t xml:space="preserve">          Ярославский ф-л ПАО "Промсвязьбанк"</t>
  </si>
  <si>
    <t>Тел.:</t>
  </si>
  <si>
    <t xml:space="preserve">                 8(910) 663-04-16</t>
  </si>
  <si>
    <r>
      <t xml:space="preserve">                   </t>
    </r>
    <r>
      <rPr>
        <sz val="14"/>
        <color theme="1"/>
        <rFont val="Calibri"/>
        <family val="2"/>
        <charset val="204"/>
        <scheme val="minor"/>
      </rPr>
      <t xml:space="preserve">   8(902)330-30-44</t>
    </r>
  </si>
  <si>
    <t>Зам.Председателя:        Ваганов Алексей Валерианович</t>
  </si>
  <si>
    <t>ИНН 7603006485/КПП 760301001</t>
  </si>
  <si>
    <t xml:space="preserve">              ОГРН      1037600201044</t>
  </si>
  <si>
    <t xml:space="preserve">                            Ярославская обл.,Ярославль г.,</t>
  </si>
  <si>
    <t xml:space="preserve">           №  0 47888760</t>
  </si>
  <si>
    <r>
      <t xml:space="preserve">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 xml:space="preserve">  ЗАТРАТЫ ЗА 1 КВАРТАЛ 2019 ГОДА ПО СТАТЬЯМ</t>
    </r>
  </si>
  <si>
    <t>ЗАТРАТЫ ЗА</t>
  </si>
  <si>
    <t>1 КВАРТАЛ 2019</t>
  </si>
  <si>
    <t>ЗАТРАТЫ 1 КВ-Л</t>
  </si>
  <si>
    <t>АВАНСЫ</t>
  </si>
  <si>
    <t>НАИМЕНОВАНИЕ</t>
  </si>
  <si>
    <t xml:space="preserve"> УСЛУГИ БИНБАНКА</t>
  </si>
  <si>
    <t>УСЛУГИ ПСБ</t>
  </si>
  <si>
    <t>ИНТЕРНЕТ</t>
  </si>
  <si>
    <t>ОТОПЛЕНИЕ ОФИСА(ТГК-2)</t>
  </si>
  <si>
    <t>БУХ.УСЛУГИ(ПРИОРИТЕТ)</t>
  </si>
  <si>
    <t>АДВОКАТ</t>
  </si>
  <si>
    <t>КОНСУЛЬТАЦИИ ПО 1С</t>
  </si>
  <si>
    <t>ГОСПОШЛИНА</t>
  </si>
  <si>
    <t>ЗАПРАВКА КАТРИДЖА</t>
  </si>
  <si>
    <t>ТЕЛЕФОН</t>
  </si>
  <si>
    <t>МАТЕРИАЛЫ+КАНЦТОВАРЫ</t>
  </si>
  <si>
    <t>ЗАКАЗНЫЕ ПИСЬМА+КСЕРОКОПИИ</t>
  </si>
  <si>
    <t>ИТОГО:</t>
  </si>
  <si>
    <t>АРЕНДА ОФИСА (КУМИ)</t>
  </si>
  <si>
    <t>РАСЧИСТКА ДОРОГ ОТ СНЕГА(ЧИСТОВ)</t>
  </si>
  <si>
    <t>СПИЛ СУХИХ ДЕРЕВЬЕВ(ПРОМЫСЕЛЪ)</t>
  </si>
  <si>
    <t>ВЫВОЗ МУСОРА (ЭКОПРОМ)</t>
  </si>
  <si>
    <t>ЗЕМЕЛЬНЫЙ НАЛОГ</t>
  </si>
  <si>
    <t>НДС</t>
  </si>
  <si>
    <t>УСН ДОХОД</t>
  </si>
  <si>
    <t>ШТРАФ</t>
  </si>
  <si>
    <t>ЧЛЕНСКИЕ ВЗНОСЫ В ОБЪЕДИНЕНИЕ</t>
  </si>
  <si>
    <t>ЗАРПЛАТА СТОРОЖЕЙ</t>
  </si>
  <si>
    <t>НАЧИСЛЕНИЯ НА ФОТ</t>
  </si>
  <si>
    <t>АВАНСЫ НА</t>
  </si>
  <si>
    <t>01.01.2019 ГОДА</t>
  </si>
  <si>
    <t>01.04.2019 ГОДА</t>
  </si>
  <si>
    <t>НДФЛ (ПРИ КОРРЕКТИРОВКЕ)</t>
  </si>
  <si>
    <t>ПОДОТЧЕТ</t>
  </si>
  <si>
    <t>ЗАРПЛАТА</t>
  </si>
  <si>
    <t>НДФЛ(ПРИ КОРРЕКТИРОВКЕ)</t>
  </si>
  <si>
    <t>ГАЗ СТОРОЖАМ</t>
  </si>
  <si>
    <t>ОПЛАЧЕН. АПРЕЛЬ</t>
  </si>
  <si>
    <t>4. НАЛОГИ</t>
  </si>
  <si>
    <t>(ЧЛЕНСКИЕ)ИТОГО ЗАТРАТ:</t>
  </si>
  <si>
    <t>(ЭЛ/ЭНЕРГИЯ)ИТОГО ЗАТРАТ:</t>
  </si>
  <si>
    <t>(ПЕНИ)ИТОГО ЗАТРАТ:</t>
  </si>
  <si>
    <t>ЗАМЕНА СТОЛБОВ</t>
  </si>
  <si>
    <t>ЭЛЕКТРОМОНТАЖНЫЕ РАБОТЫ</t>
  </si>
  <si>
    <t>СПРАВОЧНО ПРИХОД ВЗНОСОВ</t>
  </si>
  <si>
    <t>ЧЛЕНСКИЕ ВЗНОСЫ</t>
  </si>
  <si>
    <t>ЦЕЛЕВЫЕ ВЗНОСЫ</t>
  </si>
  <si>
    <t>ЭЛЕКТРОЭНЕРГИЯ</t>
  </si>
  <si>
    <t>ПЕНИ</t>
  </si>
  <si>
    <t>РАСХОД</t>
  </si>
  <si>
    <t>НА 01.01.2019</t>
  </si>
  <si>
    <t>НА 01.04.2019</t>
  </si>
  <si>
    <t>САЛЬДО (+;-)</t>
  </si>
  <si>
    <t>СУММЫ НЕОБОСНОВАННЫЕ 2018 ГОД</t>
  </si>
  <si>
    <t>2.БЛАГОУСТРОЙСТВО(613,0 т.р.)</t>
  </si>
  <si>
    <t>(1500,00 т.р.)</t>
  </si>
  <si>
    <t>3. ВЫВОЗ МУСОРА(660,0 т.р.)</t>
  </si>
  <si>
    <t>5. НЕПРЕДВИДЕННЫЕ РАСХОДЫ(1209,0 т.р.)</t>
  </si>
  <si>
    <t>8. СОДЕРЖАНИЕ ВОДНОГО ХОЗЯЙСТВА(400,0 т.р.)</t>
  </si>
  <si>
    <t>9. СОДЕРЖАНИЕ ЭЛЕКТРОХОЗЯЙСТВА(215,0 т.р.)</t>
  </si>
  <si>
    <t>6. СОДЕРЖАНИЕ ОХРАНЫ(48,0 т.р.)</t>
  </si>
  <si>
    <t>7. ОПЛАТА ТРУДА  АДМИНИСТРАЦИЯ(1299,0 т.р.)</t>
  </si>
  <si>
    <t>1. СОДЕРЖАНИЕ ОФИСА;ВЕДЕНИЕ УЧЕТА(80,0 т.р.)</t>
  </si>
  <si>
    <t>Рек</t>
  </si>
  <si>
    <t xml:space="preserve">                             БАНК с 01.07.2018 по 31.12.2018</t>
  </si>
  <si>
    <t>1. Расход - Услуги сайта СНТ; Почтовые услуги</t>
  </si>
  <si>
    <t>РСИЦ-регистрация документов</t>
  </si>
  <si>
    <t>Бегет - сопровождение сайта</t>
  </si>
  <si>
    <t>2. Услуги - СБиСС(эл.отчетность); 1С (бух.прогр)</t>
  </si>
  <si>
    <t>СпектрАвтоматика - 1С</t>
  </si>
  <si>
    <t>Шипиловский - сайт</t>
  </si>
  <si>
    <t>Тензор - эл.отчетность</t>
  </si>
  <si>
    <t>Приоритет-ведение бух.учета</t>
  </si>
  <si>
    <t>Итого:</t>
  </si>
  <si>
    <t>3.Расход - Вывоз мусора;уборка площ.у контейнеров</t>
  </si>
  <si>
    <t>ЭкотрансСервис - манипулятор</t>
  </si>
  <si>
    <t>Экопром- вывоз контейнеров</t>
  </si>
  <si>
    <t>Олимп-строител.мусор</t>
  </si>
  <si>
    <t>Аудиторская фирма- аудит</t>
  </si>
  <si>
    <t>Адвокаты-юридические услуги</t>
  </si>
  <si>
    <t>Услуги банка</t>
  </si>
  <si>
    <t>4.Расход-усл.нотариуса;Банк.усл;Госпошлины;Аудит</t>
  </si>
  <si>
    <t>5.Благоустройство-опил.сух.деревьев,уборка снега</t>
  </si>
  <si>
    <t>Мегаполис-песок,щебень,усл.экскаватора</t>
  </si>
  <si>
    <t>ИДС-автогрейдер</t>
  </si>
  <si>
    <t>Крейсберг</t>
  </si>
  <si>
    <t>Крейберг-ремонт крыши сторожки сад7</t>
  </si>
  <si>
    <t>Крейсберг-металл.ворота сад 7</t>
  </si>
  <si>
    <t>6.Расход-Содержание ОС(сторожки;склады:жел.ворота)</t>
  </si>
  <si>
    <t>7.Расход-Канцтовары</t>
  </si>
  <si>
    <t>Компания ТриА - канцтовары</t>
  </si>
  <si>
    <t>8.Содержание водопровода;тек.ремонт насосной</t>
  </si>
  <si>
    <t>Чирков - выполн.работы</t>
  </si>
  <si>
    <t>9.Содержание электрохозяйства;подстанции</t>
  </si>
  <si>
    <t>Косолапкин - выполн.работы</t>
  </si>
  <si>
    <t>10.Содержание офиса(аренда,отопление,телефон,интернет)</t>
  </si>
  <si>
    <t>ТГК-2 - отопление офиса</t>
  </si>
  <si>
    <t>Дом Ру- интернет</t>
  </si>
  <si>
    <t>11.Прочие усл.для ведения хоз.деятельности</t>
  </si>
  <si>
    <t>Сигнал Центр - охрана собрания</t>
  </si>
  <si>
    <t>12. Налоги</t>
  </si>
  <si>
    <t>НДФЛ</t>
  </si>
  <si>
    <t>Взносы на страховую часть</t>
  </si>
  <si>
    <t>Взносы на травмотизм</t>
  </si>
  <si>
    <t>Госпошлины</t>
  </si>
  <si>
    <t>Пени по травмотизму</t>
  </si>
  <si>
    <t>Всего: Расход по р/счету с 01.07.18 по 31.12.18</t>
  </si>
  <si>
    <t>01.07.2019 ГОДА</t>
  </si>
  <si>
    <r>
      <t xml:space="preserve">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 xml:space="preserve">  ЗАТРАТЫ ЗА 2 КВАРТАЛ 2019 ГОДА ПО СТАТЬЯМ</t>
    </r>
  </si>
  <si>
    <t>ОПЛАЧЕН. ИЮЛЕ</t>
  </si>
  <si>
    <t>ЗАТРАТЫ 2 КВ-Л</t>
  </si>
  <si>
    <t xml:space="preserve"> УСЛУГИ БАНКА</t>
  </si>
  <si>
    <t>1 ПОЛУГОДИЕ 2019</t>
  </si>
  <si>
    <t>СОПРОВОЖДЕНИЕ ПРОГР. 1С</t>
  </si>
  <si>
    <t>ЗАБОР(КРЕЙСБЕРГ)+ГПХ+материалы</t>
  </si>
  <si>
    <t>ВЫВОЗ МУСОРА (ЭКОПРОМ,ЭКОТРАНС)+УБ.ПЛОЩ</t>
  </si>
  <si>
    <t>АВАРИЙНЫЕ РАБОТЫ ПО ТРУБАМ</t>
  </si>
  <si>
    <t>ОПЛАТА МОБИЛЬН.СВЯЗИ+КОМБИНЕЗОН</t>
  </si>
  <si>
    <t>САЙТ</t>
  </si>
  <si>
    <t>&amp;&amp;&amp;&amp;&amp;&amp;</t>
  </si>
  <si>
    <t>ЗАРПЛАТА МОТОРИСТОВ</t>
  </si>
  <si>
    <t>РЕМОНТ ТРУБ( ГПХ)</t>
  </si>
  <si>
    <t>РЕМОНТ ТРУБ (договора ГПХ)</t>
  </si>
  <si>
    <t>МОНТАЖ ТРУБОПРОВОДА(ПАНФИЛОВ)</t>
  </si>
  <si>
    <t>МАТЕРИАЛЫ</t>
  </si>
  <si>
    <t>ЗАМЕНА СТОЛБОВ, ОПОР</t>
  </si>
  <si>
    <t>НА 01.07.2019</t>
  </si>
  <si>
    <t>ЗАТРАТЫ 2018 ГОДА</t>
  </si>
  <si>
    <t>ОПЛАЧЕННЫЕ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</si>
</sst>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0" borderId="0" xfId="0" applyFont="1"/>
    <xf numFmtId="0" fontId="0" fillId="0" borderId="0" xfId="0" applyFont="1"/>
    <xf numFmtId="2" fontId="0" fillId="0" borderId="0" xfId="0" applyNumberFormat="1"/>
    <xf numFmtId="2" fontId="1" fillId="0" borderId="0" xfId="0" applyNumberFormat="1" applyFont="1"/>
    <xf numFmtId="2" fontId="4" fillId="0" borderId="0" xfId="0" applyNumberFormat="1" applyFont="1"/>
    <xf numFmtId="2" fontId="6" fillId="0" borderId="0" xfId="0" applyNumberFormat="1" applyFont="1"/>
    <xf numFmtId="2" fontId="5" fillId="2" borderId="0" xfId="0" applyNumberFormat="1" applyFont="1" applyFill="1"/>
    <xf numFmtId="2" fontId="0" fillId="2" borderId="0" xfId="0" applyNumberFormat="1" applyFill="1"/>
    <xf numFmtId="2" fontId="0" fillId="3" borderId="0" xfId="0" applyNumberFormat="1" applyFill="1"/>
    <xf numFmtId="0" fontId="1" fillId="3" borderId="0" xfId="0" applyFont="1" applyFill="1"/>
    <xf numFmtId="0" fontId="1" fillId="2" borderId="0" xfId="0" applyFont="1" applyFill="1"/>
    <xf numFmtId="0" fontId="0" fillId="2" borderId="0" xfId="0" applyFill="1"/>
    <xf numFmtId="0" fontId="1" fillId="4" borderId="0" xfId="0" applyFont="1" applyFill="1"/>
    <xf numFmtId="0" fontId="1" fillId="5" borderId="0" xfId="0" applyFont="1" applyFill="1"/>
    <xf numFmtId="2" fontId="0" fillId="5" borderId="0" xfId="0" applyNumberFormat="1" applyFill="1"/>
    <xf numFmtId="0" fontId="1" fillId="7" borderId="0" xfId="0" applyFont="1" applyFill="1"/>
    <xf numFmtId="2" fontId="0" fillId="7" borderId="0" xfId="0" applyNumberFormat="1" applyFill="1"/>
    <xf numFmtId="0" fontId="5" fillId="0" borderId="0" xfId="0" applyFont="1"/>
    <xf numFmtId="0" fontId="1" fillId="8" borderId="0" xfId="0" applyFont="1" applyFill="1"/>
    <xf numFmtId="2" fontId="0" fillId="8" borderId="0" xfId="0" applyNumberFormat="1" applyFill="1"/>
    <xf numFmtId="0" fontId="1" fillId="9" borderId="0" xfId="0" applyFont="1" applyFill="1"/>
    <xf numFmtId="0" fontId="1" fillId="10" borderId="0" xfId="0" applyFont="1" applyFill="1"/>
    <xf numFmtId="2" fontId="0" fillId="10" borderId="0" xfId="0" applyNumberFormat="1" applyFill="1"/>
    <xf numFmtId="2" fontId="0" fillId="9" borderId="0" xfId="0" applyNumberFormat="1" applyFill="1"/>
    <xf numFmtId="0" fontId="0" fillId="9" borderId="0" xfId="0" applyFill="1"/>
    <xf numFmtId="0" fontId="1" fillId="11" borderId="0" xfId="0" applyFont="1" applyFill="1"/>
    <xf numFmtId="0" fontId="0" fillId="4" borderId="0" xfId="0" applyFill="1"/>
    <xf numFmtId="0" fontId="0" fillId="6" borderId="0" xfId="0" applyFill="1"/>
    <xf numFmtId="2" fontId="0" fillId="6" borderId="0" xfId="0" applyNumberFormat="1" applyFill="1"/>
    <xf numFmtId="0" fontId="1" fillId="0" borderId="0" xfId="0" applyFont="1" applyAlignment="1">
      <alignment horizontal="center"/>
    </xf>
    <xf numFmtId="2" fontId="0" fillId="11" borderId="0" xfId="0" applyNumberFormat="1" applyFill="1"/>
    <xf numFmtId="0" fontId="7" fillId="12" borderId="0" xfId="0" applyFont="1" applyFill="1"/>
    <xf numFmtId="2" fontId="1" fillId="12" borderId="0" xfId="0" applyNumberFormat="1" applyFont="1" applyFill="1"/>
    <xf numFmtId="0" fontId="1" fillId="12" borderId="0" xfId="0" applyFont="1" applyFill="1"/>
    <xf numFmtId="0" fontId="0" fillId="3" borderId="0" xfId="0" applyFill="1"/>
    <xf numFmtId="0" fontId="0" fillId="11" borderId="0" xfId="0" applyFill="1"/>
    <xf numFmtId="2" fontId="2" fillId="0" borderId="0" xfId="0" applyNumberFormat="1" applyFont="1"/>
    <xf numFmtId="0" fontId="2" fillId="2" borderId="0" xfId="0" applyFont="1" applyFill="1"/>
    <xf numFmtId="2" fontId="1" fillId="2" borderId="0" xfId="0" applyNumberFormat="1" applyFont="1" applyFill="1"/>
    <xf numFmtId="0" fontId="2" fillId="3" borderId="0" xfId="0" applyFont="1" applyFill="1"/>
    <xf numFmtId="2" fontId="1" fillId="3" borderId="0" xfId="0" applyNumberFormat="1" applyFont="1" applyFill="1"/>
    <xf numFmtId="0" fontId="2" fillId="13" borderId="0" xfId="0" applyFont="1" applyFill="1"/>
    <xf numFmtId="0" fontId="2" fillId="14" borderId="0" xfId="0" applyFont="1" applyFill="1"/>
    <xf numFmtId="0" fontId="2" fillId="7" borderId="0" xfId="0" applyFont="1" applyFill="1"/>
    <xf numFmtId="2" fontId="1" fillId="14" borderId="0" xfId="0" applyNumberFormat="1" applyFont="1" applyFill="1"/>
    <xf numFmtId="0" fontId="2" fillId="15" borderId="0" xfId="0" applyFont="1" applyFill="1"/>
    <xf numFmtId="2" fontId="1" fillId="15" borderId="0" xfId="0" applyNumberFormat="1" applyFont="1" applyFill="1"/>
    <xf numFmtId="2" fontId="1" fillId="7" borderId="0" xfId="0" applyNumberFormat="1" applyFont="1" applyFill="1"/>
    <xf numFmtId="0" fontId="2" fillId="16" borderId="0" xfId="0" applyFont="1" applyFill="1"/>
    <xf numFmtId="2" fontId="1" fillId="16" borderId="0" xfId="0" applyNumberFormat="1" applyFont="1" applyFill="1"/>
    <xf numFmtId="2" fontId="1" fillId="13" borderId="0" xfId="0" applyNumberFormat="1" applyFont="1" applyFill="1"/>
    <xf numFmtId="2" fontId="1" fillId="5" borderId="0" xfId="0" applyNumberFormat="1" applyFont="1" applyFill="1"/>
    <xf numFmtId="0" fontId="2" fillId="5" borderId="0" xfId="0" applyFont="1" applyFill="1"/>
    <xf numFmtId="0" fontId="2" fillId="17" borderId="0" xfId="0" applyFont="1" applyFill="1"/>
    <xf numFmtId="2" fontId="1" fillId="17" borderId="0" xfId="0" applyNumberFormat="1" applyFont="1" applyFill="1"/>
    <xf numFmtId="2" fontId="1" fillId="18" borderId="0" xfId="0" applyNumberFormat="1" applyFont="1" applyFill="1"/>
    <xf numFmtId="0" fontId="1" fillId="18" borderId="0" xfId="0" applyFont="1" applyFill="1"/>
    <xf numFmtId="0" fontId="2" fillId="18" borderId="0" xfId="0" applyFont="1" applyFill="1"/>
    <xf numFmtId="0" fontId="0" fillId="19" borderId="0" xfId="0" applyFill="1"/>
    <xf numFmtId="2" fontId="0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8" workbookViewId="0">
      <selection activeCell="H8" sqref="H8"/>
    </sheetView>
  </sheetViews>
  <sheetFormatPr defaultRowHeight="15" x14ac:dyDescent="0.25"/>
  <cols>
    <col min="4" max="4" width="16.85546875" bestFit="1" customWidth="1"/>
  </cols>
  <sheetData>
    <row r="1" spans="1:9" ht="18.75" x14ac:dyDescent="0.3">
      <c r="A1" s="1"/>
    </row>
    <row r="3" spans="1:9" ht="18.75" x14ac:dyDescent="0.3">
      <c r="C3" s="1" t="s">
        <v>0</v>
      </c>
    </row>
    <row r="5" spans="1:9" ht="18.75" x14ac:dyDescent="0.3">
      <c r="C5" s="2" t="s">
        <v>22</v>
      </c>
    </row>
    <row r="6" spans="1:9" ht="18.75" x14ac:dyDescent="0.3">
      <c r="B6" s="2" t="s">
        <v>1</v>
      </c>
    </row>
    <row r="7" spans="1:9" ht="18.75" x14ac:dyDescent="0.3">
      <c r="D7" s="2" t="s">
        <v>8</v>
      </c>
    </row>
    <row r="8" spans="1:9" ht="18.75" x14ac:dyDescent="0.3">
      <c r="D8" s="2" t="s">
        <v>2</v>
      </c>
      <c r="H8" t="s">
        <v>90</v>
      </c>
    </row>
    <row r="9" spans="1:9" ht="18.75" x14ac:dyDescent="0.3">
      <c r="B9" s="2"/>
      <c r="C9" s="2" t="s">
        <v>23</v>
      </c>
    </row>
    <row r="10" spans="1:9" ht="18.75" x14ac:dyDescent="0.3">
      <c r="B10" s="2" t="s">
        <v>3</v>
      </c>
      <c r="C10" s="2" t="s">
        <v>24</v>
      </c>
      <c r="D10" s="2"/>
      <c r="E10" s="2"/>
      <c r="F10" s="2"/>
      <c r="G10" s="2"/>
      <c r="H10" s="2"/>
      <c r="I10" s="2"/>
    </row>
    <row r="11" spans="1:9" ht="18.75" x14ac:dyDescent="0.3">
      <c r="B11" s="2"/>
      <c r="C11" s="2"/>
      <c r="D11" s="2" t="s">
        <v>6</v>
      </c>
      <c r="E11" s="2"/>
      <c r="F11" s="2"/>
      <c r="G11" s="2"/>
      <c r="H11" s="2"/>
      <c r="I11" s="2"/>
    </row>
    <row r="12" spans="1:9" ht="18.75" x14ac:dyDescent="0.3"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B13" s="2" t="s">
        <v>4</v>
      </c>
      <c r="C13" s="2"/>
      <c r="D13" s="2" t="s">
        <v>5</v>
      </c>
      <c r="E13" s="2"/>
      <c r="F13" s="2"/>
      <c r="G13" s="2"/>
      <c r="H13" s="2"/>
      <c r="I13" s="2"/>
    </row>
    <row r="14" spans="1:9" ht="18.75" x14ac:dyDescent="0.3">
      <c r="B14" s="2"/>
      <c r="C14" s="2"/>
      <c r="D14" s="2" t="s">
        <v>7</v>
      </c>
      <c r="E14" s="2"/>
      <c r="F14" s="2"/>
      <c r="G14" s="2"/>
      <c r="H14" s="2"/>
      <c r="I14" s="2"/>
    </row>
    <row r="15" spans="1:9" ht="18.75" x14ac:dyDescent="0.3"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B16" s="2" t="s">
        <v>9</v>
      </c>
      <c r="C16" s="2"/>
      <c r="D16" s="2" t="s">
        <v>16</v>
      </c>
      <c r="E16" s="2"/>
      <c r="F16" s="2"/>
      <c r="G16" s="2"/>
      <c r="H16" s="2"/>
      <c r="I16" s="2"/>
    </row>
    <row r="17" spans="2:9" ht="18.75" x14ac:dyDescent="0.3">
      <c r="B17" s="2"/>
      <c r="C17" s="2"/>
      <c r="D17" s="2" t="s">
        <v>17</v>
      </c>
      <c r="E17" s="2"/>
      <c r="F17" s="2"/>
      <c r="G17" s="2"/>
      <c r="H17" s="2"/>
      <c r="I17" s="2"/>
    </row>
    <row r="18" spans="2:9" ht="18.75" x14ac:dyDescent="0.3">
      <c r="B18" s="2"/>
      <c r="C18" s="2"/>
      <c r="D18" s="2"/>
      <c r="E18" s="2" t="s">
        <v>10</v>
      </c>
      <c r="F18" s="2"/>
      <c r="G18" s="2"/>
      <c r="H18" s="2"/>
      <c r="I18" s="2"/>
    </row>
    <row r="19" spans="2:9" ht="18.75" x14ac:dyDescent="0.3">
      <c r="B19" s="2"/>
      <c r="C19" s="2"/>
      <c r="D19" s="2"/>
      <c r="E19" s="2"/>
      <c r="F19" s="2"/>
      <c r="G19" s="2"/>
      <c r="H19" s="2"/>
      <c r="I19" s="2"/>
    </row>
    <row r="20" spans="2:9" ht="18.75" x14ac:dyDescent="0.3">
      <c r="B20" s="2" t="s">
        <v>11</v>
      </c>
      <c r="C20" s="2"/>
      <c r="D20" s="2" t="s">
        <v>25</v>
      </c>
      <c r="E20" s="2"/>
      <c r="F20" s="2"/>
      <c r="G20" s="2"/>
      <c r="H20" s="2"/>
      <c r="I20" s="2"/>
    </row>
    <row r="21" spans="2:9" ht="18.75" x14ac:dyDescent="0.3">
      <c r="B21" s="2"/>
      <c r="C21" s="2"/>
      <c r="D21" s="2"/>
      <c r="E21" s="2"/>
      <c r="F21" s="2"/>
      <c r="G21" s="2"/>
      <c r="H21" s="2"/>
      <c r="I21" s="2"/>
    </row>
    <row r="22" spans="2:9" ht="18.75" x14ac:dyDescent="0.3">
      <c r="B22" s="2" t="s">
        <v>12</v>
      </c>
      <c r="C22" s="2"/>
      <c r="D22" s="2" t="s">
        <v>13</v>
      </c>
      <c r="E22" s="2"/>
      <c r="F22" s="2"/>
      <c r="G22" s="2"/>
      <c r="H22" s="2"/>
      <c r="I22" s="2"/>
    </row>
    <row r="23" spans="2:9" ht="18.75" x14ac:dyDescent="0.3">
      <c r="B23" s="2"/>
      <c r="C23" s="2"/>
      <c r="D23" s="2"/>
      <c r="E23" s="2"/>
      <c r="F23" s="2"/>
      <c r="G23" s="2"/>
      <c r="H23" s="2"/>
      <c r="I23" s="2"/>
    </row>
    <row r="24" spans="2:9" ht="18.75" x14ac:dyDescent="0.3">
      <c r="B24" s="2" t="s">
        <v>14</v>
      </c>
      <c r="C24" s="2"/>
      <c r="D24" s="2" t="s">
        <v>15</v>
      </c>
      <c r="E24" s="2"/>
      <c r="F24" s="2"/>
      <c r="G24" s="2"/>
      <c r="H24" s="2"/>
      <c r="I24" s="2"/>
    </row>
    <row r="25" spans="2:9" ht="18.75" x14ac:dyDescent="0.3">
      <c r="B25" s="2"/>
      <c r="C25" s="2"/>
      <c r="D25" s="2"/>
      <c r="E25" s="2"/>
      <c r="F25" s="2"/>
      <c r="G25" s="2"/>
      <c r="H25" s="2"/>
      <c r="I25" s="2"/>
    </row>
    <row r="26" spans="2:9" ht="18.75" x14ac:dyDescent="0.3">
      <c r="B26" s="2" t="s">
        <v>18</v>
      </c>
      <c r="C26" s="2"/>
      <c r="D26" s="2" t="s">
        <v>19</v>
      </c>
      <c r="E26" s="2"/>
      <c r="F26" s="2"/>
      <c r="G26" s="2"/>
      <c r="H26" s="2"/>
      <c r="I26" s="2"/>
    </row>
    <row r="27" spans="2:9" ht="18.75" x14ac:dyDescent="0.3">
      <c r="B27" s="2"/>
      <c r="C27" s="2"/>
      <c r="D27" s="2"/>
      <c r="E27" s="2"/>
      <c r="F27" s="2"/>
      <c r="G27" s="2"/>
      <c r="H27" s="2"/>
      <c r="I27" s="2"/>
    </row>
    <row r="28" spans="2:9" ht="19.5" thickBot="1" x14ac:dyDescent="0.35">
      <c r="B28" s="2" t="s">
        <v>21</v>
      </c>
      <c r="C28" s="2"/>
      <c r="D28" s="2"/>
      <c r="E28" s="2"/>
      <c r="F28" s="2"/>
      <c r="G28" s="2"/>
      <c r="H28" s="2"/>
      <c r="I28" s="2"/>
    </row>
    <row r="29" spans="2:9" ht="15.75" thickBot="1" x14ac:dyDescent="0.3">
      <c r="B29" s="3"/>
    </row>
    <row r="30" spans="2:9" ht="18.75" x14ac:dyDescent="0.3">
      <c r="B30" s="2" t="s">
        <v>18</v>
      </c>
      <c r="D30" t="s">
        <v>20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46" workbookViewId="0">
      <selection activeCell="C47" sqref="C47"/>
    </sheetView>
  </sheetViews>
  <sheetFormatPr defaultRowHeight="15" x14ac:dyDescent="0.25"/>
  <cols>
    <col min="1" max="1" width="36.5703125" customWidth="1"/>
    <col min="2" max="2" width="18" customWidth="1"/>
    <col min="3" max="3" width="18.140625" customWidth="1"/>
    <col min="4" max="4" width="18" customWidth="1"/>
    <col min="5" max="5" width="18.5703125" customWidth="1"/>
    <col min="6" max="6" width="17.85546875" customWidth="1"/>
    <col min="7" max="7" width="18.140625" customWidth="1"/>
    <col min="8" max="8" width="18" customWidth="1"/>
    <col min="9" max="9" width="18.28515625" customWidth="1"/>
  </cols>
  <sheetData>
    <row r="1" spans="1:8" ht="18.75" x14ac:dyDescent="0.3">
      <c r="A1" t="s">
        <v>26</v>
      </c>
      <c r="F1" s="1"/>
    </row>
    <row r="3" spans="1:8" ht="18.75" x14ac:dyDescent="0.3">
      <c r="A3" s="1" t="s">
        <v>31</v>
      </c>
      <c r="B3" s="4" t="s">
        <v>56</v>
      </c>
      <c r="C3" s="4" t="s">
        <v>27</v>
      </c>
      <c r="D3" s="4" t="s">
        <v>29</v>
      </c>
      <c r="E3" s="4" t="s">
        <v>30</v>
      </c>
      <c r="F3" s="4"/>
      <c r="G3" s="4"/>
      <c r="H3" s="4"/>
    </row>
    <row r="4" spans="1:8" x14ac:dyDescent="0.25">
      <c r="B4" s="4" t="s">
        <v>57</v>
      </c>
      <c r="C4" s="4" t="s">
        <v>28</v>
      </c>
      <c r="D4" s="4" t="s">
        <v>64</v>
      </c>
      <c r="E4" s="4" t="s">
        <v>58</v>
      </c>
      <c r="F4" s="4"/>
      <c r="G4" s="4"/>
      <c r="H4" s="4"/>
    </row>
    <row r="5" spans="1:8" ht="18.75" x14ac:dyDescent="0.3">
      <c r="A5" s="14" t="s">
        <v>89</v>
      </c>
      <c r="B5" s="15"/>
    </row>
    <row r="6" spans="1:8" x14ac:dyDescent="0.25">
      <c r="A6" s="5" t="s">
        <v>45</v>
      </c>
      <c r="B6" s="6"/>
      <c r="C6" s="11">
        <f>2456.62+2456.62+2456.62+10975.97</f>
        <v>18345.829999999998</v>
      </c>
      <c r="D6" s="6"/>
      <c r="E6" s="6"/>
      <c r="F6">
        <v>7369.86</v>
      </c>
    </row>
    <row r="7" spans="1:8" x14ac:dyDescent="0.25">
      <c r="A7" t="s">
        <v>32</v>
      </c>
      <c r="B7" s="6"/>
      <c r="C7" s="10">
        <f>200+26+26+26+26+26+26+26+550+26+26+26+26+26+26+26+200+26+26+26+26+26+26+26+26+26+26+26+26+26+26+26+26+26+200+200+26+26+26+26+26+26</f>
        <v>2312</v>
      </c>
      <c r="D7" s="6"/>
      <c r="E7" s="6"/>
    </row>
    <row r="8" spans="1:8" x14ac:dyDescent="0.25">
      <c r="A8" t="s">
        <v>33</v>
      </c>
      <c r="B8" s="6"/>
      <c r="C8" s="10">
        <f>416.67+83.33+75+15+536+99+400+496+995+499</f>
        <v>3615</v>
      </c>
      <c r="D8" s="6"/>
      <c r="E8" s="6"/>
    </row>
    <row r="9" spans="1:8" x14ac:dyDescent="0.25">
      <c r="A9" t="s">
        <v>34</v>
      </c>
      <c r="B9" s="8">
        <v>3100</v>
      </c>
      <c r="C9" s="10">
        <f>2080+736.14+1037.29+1037.29</f>
        <v>4890.7199999999993</v>
      </c>
      <c r="D9" s="6"/>
      <c r="E9" s="6">
        <v>1037.29</v>
      </c>
    </row>
    <row r="10" spans="1:8" x14ac:dyDescent="0.25">
      <c r="A10" t="s">
        <v>35</v>
      </c>
      <c r="B10" s="6"/>
      <c r="C10" s="11">
        <f>24.05+1597.73+13.33+1989.56+1856.93+1657.97</f>
        <v>7139.5700000000006</v>
      </c>
      <c r="D10" s="8">
        <v>1500.22</v>
      </c>
      <c r="E10" s="6"/>
    </row>
    <row r="11" spans="1:8" x14ac:dyDescent="0.25">
      <c r="A11" t="s">
        <v>36</v>
      </c>
      <c r="B11" s="6"/>
      <c r="C11" s="11">
        <f>20000+12000</f>
        <v>32000</v>
      </c>
      <c r="D11" s="6"/>
      <c r="E11" s="6"/>
    </row>
    <row r="12" spans="1:8" x14ac:dyDescent="0.25">
      <c r="A12" t="s">
        <v>37</v>
      </c>
      <c r="B12" s="6"/>
      <c r="C12" s="11">
        <f>10000</f>
        <v>10000</v>
      </c>
      <c r="D12" s="6"/>
      <c r="E12" s="6">
        <v>22000</v>
      </c>
    </row>
    <row r="13" spans="1:8" x14ac:dyDescent="0.25">
      <c r="A13" t="s">
        <v>38</v>
      </c>
      <c r="B13" s="6"/>
      <c r="C13" s="11">
        <v>1600</v>
      </c>
      <c r="D13" s="6"/>
      <c r="E13" s="6"/>
    </row>
    <row r="14" spans="1:8" x14ac:dyDescent="0.25">
      <c r="A14" t="s">
        <v>39</v>
      </c>
      <c r="B14" s="6"/>
      <c r="C14" s="11">
        <v>1700</v>
      </c>
      <c r="D14" s="6"/>
      <c r="E14" s="6"/>
    </row>
    <row r="15" spans="1:8" x14ac:dyDescent="0.25">
      <c r="A15" t="s">
        <v>40</v>
      </c>
      <c r="B15" s="6"/>
      <c r="C15" s="11">
        <v>800</v>
      </c>
      <c r="D15" s="6"/>
      <c r="E15" s="6"/>
    </row>
    <row r="16" spans="1:8" x14ac:dyDescent="0.25">
      <c r="A16" t="s">
        <v>41</v>
      </c>
      <c r="B16" s="8">
        <v>215.62</v>
      </c>
      <c r="C16" s="11">
        <f>252+252+252.9</f>
        <v>756.9</v>
      </c>
      <c r="D16" s="6"/>
      <c r="E16" s="6">
        <v>3.99</v>
      </c>
    </row>
    <row r="17" spans="1:5" x14ac:dyDescent="0.25">
      <c r="A17" t="s">
        <v>42</v>
      </c>
      <c r="B17" s="6"/>
      <c r="C17" s="11">
        <f>69.34+160.44+110+3.8+741+194.75+19+76.94+6.65+228+51.3+266+7.6+49.4+54.5+10+26.5+44+30+36+160+200+110+198+36+65+280+678+159.39+32+64.4+40+679+102+33+3900+300</f>
        <v>9222.01</v>
      </c>
      <c r="D17" s="6"/>
      <c r="E17" s="6"/>
    </row>
    <row r="18" spans="1:5" x14ac:dyDescent="0.25">
      <c r="A18" t="s">
        <v>43</v>
      </c>
      <c r="B18" s="6"/>
      <c r="C18" s="11">
        <f>330+27.5+27.5+27.5+27.5+27.5+27.5+1398+55</f>
        <v>1948</v>
      </c>
      <c r="D18" s="6"/>
      <c r="E18" s="6"/>
    </row>
    <row r="19" spans="1:5" ht="18.75" x14ac:dyDescent="0.3">
      <c r="A19" s="14" t="s">
        <v>44</v>
      </c>
      <c r="B19" s="9">
        <f>SUM(B6:B18)</f>
        <v>3315.62</v>
      </c>
      <c r="C19" s="7">
        <f>SUM(C6:C18)</f>
        <v>94330.029999999984</v>
      </c>
      <c r="D19" s="9">
        <f>SUM(D6:D18)</f>
        <v>1500.22</v>
      </c>
      <c r="E19" s="7">
        <f>SUM(E6:E18)</f>
        <v>23041.280000000002</v>
      </c>
    </row>
    <row r="21" spans="1:5" ht="18.75" x14ac:dyDescent="0.3">
      <c r="A21" s="13" t="s">
        <v>81</v>
      </c>
      <c r="B21" s="38"/>
    </row>
    <row r="22" spans="1:5" x14ac:dyDescent="0.25">
      <c r="A22" t="s">
        <v>46</v>
      </c>
      <c r="B22" s="6"/>
      <c r="C22" s="12">
        <v>19500</v>
      </c>
      <c r="D22" s="6"/>
      <c r="E22" s="6"/>
    </row>
    <row r="23" spans="1:5" x14ac:dyDescent="0.25">
      <c r="A23" s="5" t="s">
        <v>47</v>
      </c>
      <c r="B23" s="6"/>
      <c r="C23" s="12">
        <v>123000</v>
      </c>
      <c r="D23" s="6"/>
      <c r="E23" s="6"/>
    </row>
    <row r="24" spans="1:5" x14ac:dyDescent="0.25">
      <c r="A24" s="5"/>
      <c r="B24" s="6"/>
      <c r="C24" s="12"/>
      <c r="D24" s="6"/>
      <c r="E24" s="6"/>
    </row>
    <row r="25" spans="1:5" ht="18.75" x14ac:dyDescent="0.3">
      <c r="A25" s="13" t="s">
        <v>44</v>
      </c>
      <c r="B25" s="9">
        <f>SUM(B22:B24)</f>
        <v>0</v>
      </c>
      <c r="C25" s="7">
        <f>SUM(C22+C23+C24)</f>
        <v>142500</v>
      </c>
      <c r="D25" s="9">
        <f>SUM(D22:D24)</f>
        <v>0</v>
      </c>
      <c r="E25" s="7">
        <f>SUM(E22:E24)</f>
        <v>0</v>
      </c>
    </row>
    <row r="27" spans="1:5" ht="18.75" x14ac:dyDescent="0.3">
      <c r="A27" s="17" t="s">
        <v>83</v>
      </c>
    </row>
    <row r="28" spans="1:5" x14ac:dyDescent="0.25">
      <c r="A28" t="s">
        <v>48</v>
      </c>
      <c r="B28" s="6"/>
      <c r="C28" s="18">
        <f>3984+3984+3984+5500</f>
        <v>17452</v>
      </c>
      <c r="D28" s="8">
        <v>5500</v>
      </c>
      <c r="E28" s="6"/>
    </row>
    <row r="29" spans="1:5" ht="18.75" x14ac:dyDescent="0.3">
      <c r="A29" s="17" t="s">
        <v>44</v>
      </c>
      <c r="B29" s="9">
        <f>B28</f>
        <v>0</v>
      </c>
      <c r="C29" s="7">
        <v>17452</v>
      </c>
      <c r="D29" s="9">
        <f>D28</f>
        <v>5500</v>
      </c>
      <c r="E29" s="7">
        <f>E28</f>
        <v>0</v>
      </c>
    </row>
    <row r="31" spans="1:5" ht="18.75" x14ac:dyDescent="0.3">
      <c r="A31" s="19" t="s">
        <v>65</v>
      </c>
      <c r="B31" s="6"/>
      <c r="C31" s="6"/>
      <c r="D31" s="6"/>
      <c r="E31" s="6"/>
    </row>
    <row r="32" spans="1:5" x14ac:dyDescent="0.25">
      <c r="A32" t="s">
        <v>49</v>
      </c>
      <c r="B32" s="8">
        <v>0</v>
      </c>
      <c r="C32" s="20">
        <v>67450</v>
      </c>
      <c r="D32" s="6"/>
      <c r="E32" s="6">
        <v>0</v>
      </c>
    </row>
    <row r="33" spans="1:6" x14ac:dyDescent="0.25">
      <c r="A33" s="5" t="s">
        <v>50</v>
      </c>
      <c r="B33" s="6"/>
      <c r="C33" s="20">
        <v>5532</v>
      </c>
      <c r="D33" s="8">
        <v>3439</v>
      </c>
      <c r="E33" s="6"/>
    </row>
    <row r="34" spans="1:6" x14ac:dyDescent="0.25">
      <c r="A34" s="5" t="s">
        <v>51</v>
      </c>
      <c r="B34" s="6"/>
      <c r="C34" s="20">
        <v>5191</v>
      </c>
      <c r="D34" s="6"/>
      <c r="E34" s="6"/>
    </row>
    <row r="35" spans="1:6" x14ac:dyDescent="0.25">
      <c r="A35" s="5" t="s">
        <v>52</v>
      </c>
      <c r="B35" s="6"/>
      <c r="C35" s="20">
        <v>125</v>
      </c>
      <c r="D35" s="6"/>
      <c r="E35" s="6"/>
    </row>
    <row r="36" spans="1:6" ht="18.75" x14ac:dyDescent="0.3">
      <c r="A36" s="19" t="s">
        <v>44</v>
      </c>
      <c r="B36" s="9">
        <f>SUM(B32:B35)</f>
        <v>0</v>
      </c>
      <c r="C36" s="7">
        <f>SUM(C32:C35)</f>
        <v>78298</v>
      </c>
      <c r="D36" s="9">
        <f>SUM(D32:D35)</f>
        <v>3439</v>
      </c>
      <c r="E36" s="7">
        <f>SUM(E32:E35)</f>
        <v>0</v>
      </c>
    </row>
    <row r="37" spans="1:6" x14ac:dyDescent="0.25">
      <c r="B37" s="21"/>
    </row>
    <row r="38" spans="1:6" ht="18.75" x14ac:dyDescent="0.3">
      <c r="A38" s="22" t="s">
        <v>84</v>
      </c>
      <c r="B38" s="23"/>
      <c r="C38" s="6"/>
      <c r="D38" s="6"/>
      <c r="E38" s="6"/>
    </row>
    <row r="39" spans="1:6" x14ac:dyDescent="0.25">
      <c r="A39" t="s">
        <v>53</v>
      </c>
      <c r="B39" s="6"/>
      <c r="C39" s="23">
        <v>26000</v>
      </c>
      <c r="D39" s="6"/>
      <c r="E39" s="6"/>
    </row>
    <row r="40" spans="1:6" x14ac:dyDescent="0.25">
      <c r="A40" s="5" t="s">
        <v>60</v>
      </c>
      <c r="B40" s="8">
        <v>0</v>
      </c>
      <c r="C40" s="23">
        <v>71.599999999999994</v>
      </c>
      <c r="D40" s="6"/>
      <c r="E40" s="6"/>
    </row>
    <row r="41" spans="1:6" x14ac:dyDescent="0.25">
      <c r="A41" s="5" t="s">
        <v>80</v>
      </c>
      <c r="B41" s="8"/>
      <c r="C41" s="23">
        <v>0</v>
      </c>
      <c r="D41" s="8">
        <v>15703.07</v>
      </c>
      <c r="E41" s="6">
        <v>0</v>
      </c>
    </row>
    <row r="42" spans="1:6" x14ac:dyDescent="0.25">
      <c r="B42" s="6"/>
      <c r="C42" s="23"/>
      <c r="D42" s="6"/>
      <c r="E42" s="6"/>
    </row>
    <row r="43" spans="1:6" x14ac:dyDescent="0.25">
      <c r="B43" s="6"/>
      <c r="C43" s="23"/>
      <c r="D43" s="6"/>
      <c r="E43" s="6"/>
    </row>
    <row r="44" spans="1:6" ht="18.75" x14ac:dyDescent="0.3">
      <c r="A44" s="22" t="s">
        <v>44</v>
      </c>
      <c r="B44" s="9">
        <f>SUM(B39:B43)</f>
        <v>0</v>
      </c>
      <c r="C44" s="7">
        <f>SUM(C39:C43)</f>
        <v>26071.599999999999</v>
      </c>
      <c r="D44" s="9">
        <f>SUM(D39:D43)</f>
        <v>15703.07</v>
      </c>
      <c r="E44" s="7">
        <f>SUM(E39:E43)</f>
        <v>0</v>
      </c>
    </row>
    <row r="46" spans="1:6" ht="18.75" x14ac:dyDescent="0.3">
      <c r="A46" s="25" t="s">
        <v>87</v>
      </c>
    </row>
    <row r="47" spans="1:6" x14ac:dyDescent="0.25">
      <c r="A47" t="s">
        <v>54</v>
      </c>
      <c r="B47" s="6"/>
      <c r="C47" s="26">
        <f>187341.81+31463.52</f>
        <v>218805.33</v>
      </c>
      <c r="D47" s="8">
        <v>23451</v>
      </c>
      <c r="E47" s="6"/>
      <c r="F47" s="6"/>
    </row>
    <row r="48" spans="1:6" x14ac:dyDescent="0.25">
      <c r="A48" s="5" t="s">
        <v>55</v>
      </c>
      <c r="B48" s="6"/>
      <c r="C48" s="26">
        <f>56577.24+11773.46</f>
        <v>68350.7</v>
      </c>
      <c r="D48" s="8">
        <v>16036.2</v>
      </c>
      <c r="E48" s="6"/>
      <c r="F48" s="6"/>
    </row>
    <row r="49" spans="1:6" x14ac:dyDescent="0.25">
      <c r="A49" s="5" t="s">
        <v>59</v>
      </c>
      <c r="B49" s="6"/>
      <c r="C49" s="26">
        <v>0</v>
      </c>
      <c r="D49" s="8">
        <v>6167</v>
      </c>
      <c r="E49" s="6"/>
      <c r="F49" s="6"/>
    </row>
    <row r="50" spans="1:6" x14ac:dyDescent="0.25">
      <c r="A50" s="5" t="s">
        <v>63</v>
      </c>
      <c r="B50" s="6"/>
      <c r="C50" s="26">
        <v>1150</v>
      </c>
      <c r="D50" s="6"/>
      <c r="E50" s="6"/>
      <c r="F50" s="6"/>
    </row>
    <row r="51" spans="1:6" x14ac:dyDescent="0.25">
      <c r="B51" s="6"/>
      <c r="C51" s="26"/>
      <c r="D51" s="6"/>
      <c r="E51" s="6"/>
      <c r="F51" s="6"/>
    </row>
    <row r="52" spans="1:6" ht="18.75" x14ac:dyDescent="0.3">
      <c r="A52" s="25" t="s">
        <v>44</v>
      </c>
      <c r="B52" s="7">
        <f>SUM(B47:B51)</f>
        <v>0</v>
      </c>
      <c r="C52" s="7">
        <f>SUM(C47:C51)</f>
        <v>288306.02999999997</v>
      </c>
      <c r="D52" s="9">
        <f>SUM(D47:D51)</f>
        <v>45654.2</v>
      </c>
      <c r="E52" s="7">
        <f>SUM(E47:E51)</f>
        <v>0</v>
      </c>
      <c r="F52" s="6"/>
    </row>
    <row r="54" spans="1:6" ht="18.75" x14ac:dyDescent="0.3">
      <c r="A54" s="24" t="s">
        <v>88</v>
      </c>
      <c r="B54" s="28"/>
    </row>
    <row r="55" spans="1:6" x14ac:dyDescent="0.25">
      <c r="A55" t="s">
        <v>61</v>
      </c>
      <c r="B55" s="6"/>
      <c r="C55" s="27">
        <v>50550</v>
      </c>
      <c r="D55" s="8">
        <v>7359</v>
      </c>
      <c r="E55" s="6"/>
    </row>
    <row r="56" spans="1:6" x14ac:dyDescent="0.25">
      <c r="A56" t="s">
        <v>55</v>
      </c>
      <c r="B56" s="6"/>
      <c r="C56" s="27">
        <v>15266.1</v>
      </c>
      <c r="D56" s="8">
        <v>5088.7</v>
      </c>
      <c r="E56" s="6"/>
    </row>
    <row r="57" spans="1:6" x14ac:dyDescent="0.25">
      <c r="A57" t="s">
        <v>62</v>
      </c>
      <c r="B57" s="8">
        <v>0</v>
      </c>
      <c r="C57" s="27">
        <v>0</v>
      </c>
      <c r="D57" s="8">
        <v>0</v>
      </c>
      <c r="E57" s="6"/>
    </row>
    <row r="58" spans="1:6" ht="18.75" x14ac:dyDescent="0.3">
      <c r="A58" s="24" t="s">
        <v>44</v>
      </c>
      <c r="B58" s="9">
        <f>SUM(B55:B57)</f>
        <v>0</v>
      </c>
      <c r="C58" s="7">
        <f>SUM(C55:C57)</f>
        <v>65816.100000000006</v>
      </c>
      <c r="D58" s="9">
        <f>SUM(D55:D57)</f>
        <v>12447.7</v>
      </c>
      <c r="E58" s="7">
        <f>SUM(E55:E57)</f>
        <v>0</v>
      </c>
    </row>
    <row r="60" spans="1:6" ht="18.75" x14ac:dyDescent="0.3">
      <c r="A60" s="29" t="s">
        <v>85</v>
      </c>
      <c r="B60" s="39"/>
    </row>
    <row r="61" spans="1:6" x14ac:dyDescent="0.25">
      <c r="A61" t="s">
        <v>147</v>
      </c>
      <c r="B61" s="6"/>
      <c r="C61" s="34"/>
      <c r="D61" s="6"/>
      <c r="E61" s="6"/>
    </row>
    <row r="62" spans="1:6" x14ac:dyDescent="0.25">
      <c r="A62" t="s">
        <v>55</v>
      </c>
      <c r="B62" s="6"/>
      <c r="C62" s="34"/>
      <c r="D62" s="6"/>
      <c r="E62" s="6"/>
    </row>
    <row r="63" spans="1:6" x14ac:dyDescent="0.25">
      <c r="A63" t="s">
        <v>148</v>
      </c>
      <c r="B63" s="6"/>
      <c r="C63" s="34"/>
      <c r="D63" s="6"/>
      <c r="E63" s="6"/>
    </row>
    <row r="64" spans="1:6" x14ac:dyDescent="0.25">
      <c r="B64" s="6"/>
      <c r="C64" s="34"/>
      <c r="D64" s="6"/>
      <c r="E64" s="6"/>
    </row>
    <row r="65" spans="1:6" x14ac:dyDescent="0.25">
      <c r="B65" s="6"/>
      <c r="C65" s="34"/>
      <c r="D65" s="6"/>
      <c r="E65" s="6"/>
    </row>
    <row r="66" spans="1:6" ht="18.75" x14ac:dyDescent="0.3">
      <c r="A66" s="29" t="s">
        <v>44</v>
      </c>
      <c r="B66" s="9">
        <f>SUM(B61:B65)</f>
        <v>0</v>
      </c>
      <c r="C66" s="7">
        <f>SUM(C61:C65)</f>
        <v>0</v>
      </c>
      <c r="D66" s="9">
        <f>SUM(D61:D65)</f>
        <v>0</v>
      </c>
      <c r="E66" s="7">
        <f>SUM(E61:E65)</f>
        <v>0</v>
      </c>
    </row>
    <row r="68" spans="1:6" ht="18.75" x14ac:dyDescent="0.3">
      <c r="A68" s="14" t="s">
        <v>86</v>
      </c>
      <c r="B68" s="15"/>
    </row>
    <row r="69" spans="1:6" x14ac:dyDescent="0.25">
      <c r="A69" t="s">
        <v>69</v>
      </c>
      <c r="B69" s="6"/>
      <c r="C69" s="11">
        <v>14750</v>
      </c>
      <c r="D69" s="6"/>
      <c r="E69" s="6">
        <v>0</v>
      </c>
    </row>
    <row r="70" spans="1:6" x14ac:dyDescent="0.25">
      <c r="A70" t="s">
        <v>70</v>
      </c>
      <c r="B70" s="6"/>
      <c r="C70" s="11">
        <v>0</v>
      </c>
      <c r="D70" s="6"/>
      <c r="E70" s="6">
        <v>34400</v>
      </c>
    </row>
    <row r="71" spans="1:6" x14ac:dyDescent="0.25">
      <c r="B71" s="6"/>
      <c r="C71" s="11"/>
      <c r="D71" s="6"/>
      <c r="E71" s="6"/>
    </row>
    <row r="72" spans="1:6" x14ac:dyDescent="0.25">
      <c r="B72" s="6"/>
      <c r="C72" s="11"/>
      <c r="D72" s="6"/>
      <c r="E72" s="6"/>
    </row>
    <row r="73" spans="1:6" x14ac:dyDescent="0.25">
      <c r="B73" s="6"/>
      <c r="C73" s="11"/>
      <c r="D73" s="6"/>
      <c r="E73" s="6"/>
    </row>
    <row r="74" spans="1:6" x14ac:dyDescent="0.25">
      <c r="B74" s="6"/>
      <c r="C74" s="11"/>
      <c r="D74" s="6"/>
      <c r="E74" s="6"/>
    </row>
    <row r="75" spans="1:6" x14ac:dyDescent="0.25">
      <c r="B75" s="6"/>
      <c r="C75" s="11"/>
      <c r="D75" s="6"/>
      <c r="E75" s="6"/>
    </row>
    <row r="76" spans="1:6" ht="18.75" x14ac:dyDescent="0.3">
      <c r="A76" s="14" t="s">
        <v>44</v>
      </c>
      <c r="B76" s="9">
        <f>SUM(B69:B75)</f>
        <v>0</v>
      </c>
      <c r="C76" s="7">
        <f>SUM(C69:C75)</f>
        <v>14750</v>
      </c>
      <c r="D76" s="9">
        <f>SUM(D69:D75)</f>
        <v>0</v>
      </c>
      <c r="E76" s="7">
        <f>SUM(E69:E75)</f>
        <v>34400</v>
      </c>
    </row>
    <row r="78" spans="1:6" x14ac:dyDescent="0.25">
      <c r="B78" s="6"/>
      <c r="C78" s="6"/>
      <c r="D78" s="6"/>
      <c r="E78" s="6"/>
    </row>
    <row r="79" spans="1:6" x14ac:dyDescent="0.25">
      <c r="A79" s="31"/>
      <c r="B79" s="32"/>
      <c r="C79" s="32"/>
      <c r="D79" s="32"/>
      <c r="E79" s="32"/>
      <c r="F79" s="31"/>
    </row>
    <row r="80" spans="1:6" ht="18.75" x14ac:dyDescent="0.3">
      <c r="A80" s="1" t="s">
        <v>66</v>
      </c>
      <c r="B80" s="9">
        <f>B19+B25+B29+B36+B44+B52+B58+B66+B76</f>
        <v>3315.62</v>
      </c>
      <c r="C80" s="7">
        <f>C19+C25+C29+C36+C44+C52+C58+C66+C76</f>
        <v>727523.75999999989</v>
      </c>
      <c r="D80" s="9">
        <f>D19+D25+D29+D36+D44+D52+D58+D66+D76</f>
        <v>84244.189999999988</v>
      </c>
      <c r="E80" s="7">
        <f>E19+E25+E29+E36+E44+E52+E58+E66+E76</f>
        <v>57441.279999999999</v>
      </c>
    </row>
    <row r="81" spans="1:6" x14ac:dyDescent="0.25">
      <c r="B81" s="6"/>
      <c r="C81" s="6"/>
      <c r="D81" s="6"/>
      <c r="E81" s="6"/>
    </row>
    <row r="82" spans="1:6" ht="18.75" x14ac:dyDescent="0.3">
      <c r="A82" s="35" t="s">
        <v>67</v>
      </c>
      <c r="B82" s="9">
        <v>6622.5</v>
      </c>
      <c r="C82" s="36">
        <f>22979.99+1214050.86+73258.68</f>
        <v>1310289.53</v>
      </c>
      <c r="D82" s="9">
        <v>484973.44</v>
      </c>
      <c r="E82" s="7"/>
    </row>
    <row r="83" spans="1:6" ht="18.75" x14ac:dyDescent="0.3">
      <c r="A83" s="37" t="s">
        <v>82</v>
      </c>
      <c r="B83" s="6"/>
      <c r="C83" s="6"/>
      <c r="D83" s="6"/>
      <c r="E83" s="6"/>
    </row>
    <row r="84" spans="1:6" ht="18.75" x14ac:dyDescent="0.3">
      <c r="A84" s="1" t="s">
        <v>68</v>
      </c>
      <c r="B84" s="6"/>
      <c r="C84" s="7">
        <v>177</v>
      </c>
      <c r="D84" s="9">
        <v>177</v>
      </c>
      <c r="E84" s="6"/>
    </row>
    <row r="85" spans="1:6" x14ac:dyDescent="0.25">
      <c r="A85" s="31"/>
      <c r="B85" s="31"/>
      <c r="C85" s="31"/>
      <c r="D85" s="31"/>
      <c r="E85" s="31"/>
      <c r="F85" s="31"/>
    </row>
    <row r="86" spans="1:6" ht="18.75" x14ac:dyDescent="0.3">
      <c r="A86" s="16" t="s">
        <v>71</v>
      </c>
      <c r="B86" s="30"/>
      <c r="C86" s="33" t="s">
        <v>76</v>
      </c>
      <c r="D86" s="1" t="s">
        <v>77</v>
      </c>
      <c r="E86" s="1" t="s">
        <v>78</v>
      </c>
      <c r="F86" s="1" t="s">
        <v>79</v>
      </c>
    </row>
    <row r="87" spans="1:6" x14ac:dyDescent="0.25">
      <c r="A87" t="s">
        <v>72</v>
      </c>
      <c r="B87" s="6">
        <v>57223</v>
      </c>
      <c r="C87" s="6">
        <f>C80-B80-D80+E80</f>
        <v>697405.23</v>
      </c>
      <c r="D87" s="6"/>
      <c r="E87" s="6"/>
      <c r="F87" s="6"/>
    </row>
    <row r="88" spans="1:6" x14ac:dyDescent="0.25">
      <c r="A88" s="5" t="s">
        <v>73</v>
      </c>
      <c r="B88" s="6">
        <v>5835</v>
      </c>
      <c r="C88" s="6"/>
      <c r="D88" s="6"/>
      <c r="E88" s="6"/>
      <c r="F88" s="6"/>
    </row>
    <row r="89" spans="1:6" x14ac:dyDescent="0.25">
      <c r="A89" t="s">
        <v>74</v>
      </c>
      <c r="B89" s="6">
        <v>76203.38</v>
      </c>
      <c r="C89" s="6">
        <f>C82-B82-D82+E82</f>
        <v>818693.59000000008</v>
      </c>
      <c r="D89" s="6"/>
      <c r="E89" s="6"/>
      <c r="F89" s="6"/>
    </row>
    <row r="90" spans="1:6" x14ac:dyDescent="0.25">
      <c r="A90" s="5" t="s">
        <v>75</v>
      </c>
      <c r="B90" s="6">
        <v>5915</v>
      </c>
      <c r="C90" s="6">
        <f>C84-B84-D84+E84</f>
        <v>0</v>
      </c>
      <c r="D90" s="6"/>
      <c r="E90" s="6"/>
      <c r="F90" s="6"/>
    </row>
    <row r="91" spans="1:6" ht="18.75" x14ac:dyDescent="0.3">
      <c r="A91" s="16" t="s">
        <v>44</v>
      </c>
      <c r="B91" s="7">
        <f>B87+B88+B89+B90</f>
        <v>145176.38</v>
      </c>
      <c r="C91" s="7">
        <f>C87+C88+C89+C90</f>
        <v>1516098.82</v>
      </c>
      <c r="D91" s="7">
        <v>2059332.04</v>
      </c>
      <c r="E91" s="7">
        <v>684518.9</v>
      </c>
      <c r="F91" s="7">
        <f>D91+B91-C91</f>
        <v>688409.59999999986</v>
      </c>
    </row>
    <row r="92" spans="1:6" x14ac:dyDescent="0.25">
      <c r="A92" s="31"/>
      <c r="B92" s="31"/>
      <c r="C92" s="31"/>
      <c r="D92" s="31"/>
      <c r="E92" s="31"/>
      <c r="F92" s="3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2"/>
  <sheetViews>
    <sheetView tabSelected="1" workbookViewId="0">
      <selection activeCell="H54" sqref="H54"/>
    </sheetView>
  </sheetViews>
  <sheetFormatPr defaultRowHeight="15" x14ac:dyDescent="0.25"/>
  <cols>
    <col min="1" max="1" width="0.28515625" customWidth="1"/>
    <col min="2" max="2" width="52.5703125" customWidth="1"/>
    <col min="3" max="3" width="0.140625" customWidth="1"/>
    <col min="4" max="4" width="18" customWidth="1"/>
    <col min="5" max="5" width="18.140625" customWidth="1"/>
    <col min="6" max="6" width="18" customWidth="1"/>
    <col min="7" max="7" width="18.5703125" customWidth="1"/>
    <col min="8" max="8" width="18" customWidth="1"/>
  </cols>
  <sheetData>
    <row r="1" spans="2:8" ht="18.75" x14ac:dyDescent="0.3">
      <c r="B1" t="s">
        <v>135</v>
      </c>
      <c r="H1" s="1"/>
    </row>
    <row r="3" spans="2:8" ht="18.75" x14ac:dyDescent="0.3">
      <c r="B3" s="1" t="s">
        <v>31</v>
      </c>
      <c r="C3" s="4" t="s">
        <v>154</v>
      </c>
      <c r="D3" s="4" t="s">
        <v>56</v>
      </c>
      <c r="E3" s="4" t="s">
        <v>27</v>
      </c>
      <c r="F3" s="4" t="s">
        <v>137</v>
      </c>
      <c r="G3" s="4" t="s">
        <v>30</v>
      </c>
      <c r="H3" s="4"/>
    </row>
    <row r="4" spans="2:8" x14ac:dyDescent="0.25">
      <c r="C4" s="4" t="s">
        <v>155</v>
      </c>
      <c r="D4" s="4" t="s">
        <v>57</v>
      </c>
      <c r="E4" s="4" t="s">
        <v>139</v>
      </c>
      <c r="F4" s="4" t="s">
        <v>136</v>
      </c>
      <c r="G4" s="4" t="s">
        <v>134</v>
      </c>
      <c r="H4" s="4"/>
    </row>
    <row r="5" spans="2:8" ht="18.75" x14ac:dyDescent="0.3">
      <c r="B5" s="14" t="s">
        <v>89</v>
      </c>
      <c r="C5" s="14"/>
      <c r="D5" s="15"/>
      <c r="H5" s="62"/>
    </row>
    <row r="6" spans="2:8" x14ac:dyDescent="0.25">
      <c r="B6" s="5" t="s">
        <v>45</v>
      </c>
      <c r="C6" s="63">
        <v>0</v>
      </c>
      <c r="D6" s="6"/>
      <c r="E6" s="11">
        <v>25715.69</v>
      </c>
      <c r="F6" s="6"/>
      <c r="G6" s="6"/>
      <c r="H6" s="62"/>
    </row>
    <row r="7" spans="2:8" x14ac:dyDescent="0.25">
      <c r="B7" t="s">
        <v>138</v>
      </c>
      <c r="C7" s="6"/>
      <c r="D7" s="6"/>
      <c r="E7" s="10">
        <v>12725.78</v>
      </c>
      <c r="F7" s="6"/>
      <c r="G7" s="6"/>
      <c r="H7" s="62"/>
    </row>
    <row r="8" spans="2:8" x14ac:dyDescent="0.25">
      <c r="B8" t="s">
        <v>145</v>
      </c>
      <c r="C8" s="6"/>
      <c r="D8" s="6"/>
      <c r="E8" s="10"/>
      <c r="F8" s="6"/>
      <c r="G8" s="6">
        <v>800</v>
      </c>
      <c r="H8" s="62"/>
    </row>
    <row r="9" spans="2:8" x14ac:dyDescent="0.25">
      <c r="B9" t="s">
        <v>34</v>
      </c>
      <c r="C9" s="6"/>
      <c r="D9" s="8">
        <v>0</v>
      </c>
      <c r="E9" s="10">
        <v>8002.59</v>
      </c>
      <c r="F9" s="6"/>
      <c r="G9" s="6">
        <v>1037.29</v>
      </c>
      <c r="H9" s="62"/>
    </row>
    <row r="10" spans="2:8" x14ac:dyDescent="0.25">
      <c r="B10" t="s">
        <v>35</v>
      </c>
      <c r="C10" s="6">
        <v>0</v>
      </c>
      <c r="D10" s="6"/>
      <c r="E10" s="11">
        <f>24.05+1597.73+13.33+1989.56+1856.93+1657.97+961.62</f>
        <v>8101.1900000000005</v>
      </c>
      <c r="F10" s="8">
        <v>0</v>
      </c>
      <c r="G10" s="6"/>
      <c r="H10" s="62"/>
    </row>
    <row r="11" spans="2:8" x14ac:dyDescent="0.25">
      <c r="B11" t="s">
        <v>36</v>
      </c>
      <c r="C11" s="6">
        <v>0</v>
      </c>
      <c r="D11" s="6"/>
      <c r="E11" s="11">
        <v>12000</v>
      </c>
      <c r="F11" s="6"/>
      <c r="G11" s="6"/>
      <c r="H11" s="62"/>
    </row>
    <row r="12" spans="2:8" x14ac:dyDescent="0.25">
      <c r="B12" t="s">
        <v>37</v>
      </c>
      <c r="C12" s="6"/>
      <c r="D12" s="6"/>
      <c r="E12" s="11">
        <v>30000</v>
      </c>
      <c r="F12" s="6"/>
      <c r="G12" s="6">
        <v>22000</v>
      </c>
      <c r="H12" s="62"/>
    </row>
    <row r="13" spans="2:8" x14ac:dyDescent="0.25">
      <c r="B13" t="s">
        <v>140</v>
      </c>
      <c r="C13" s="6"/>
      <c r="D13" s="6"/>
      <c r="E13" s="11">
        <v>4000</v>
      </c>
      <c r="F13" s="6"/>
      <c r="G13" s="6">
        <v>9050</v>
      </c>
      <c r="H13" s="62"/>
    </row>
    <row r="14" spans="2:8" x14ac:dyDescent="0.25">
      <c r="B14" t="s">
        <v>39</v>
      </c>
      <c r="C14" s="6"/>
      <c r="D14" s="6"/>
      <c r="E14" s="11">
        <v>4700</v>
      </c>
      <c r="F14" s="6"/>
      <c r="G14" s="6"/>
      <c r="H14" s="62"/>
    </row>
    <row r="15" spans="2:8" x14ac:dyDescent="0.25">
      <c r="B15" t="s">
        <v>40</v>
      </c>
      <c r="C15" s="6"/>
      <c r="D15" s="6"/>
      <c r="E15" s="11">
        <v>1100</v>
      </c>
      <c r="F15" s="6"/>
      <c r="G15" s="6"/>
      <c r="H15" s="62"/>
    </row>
    <row r="16" spans="2:8" x14ac:dyDescent="0.25">
      <c r="B16" t="s">
        <v>41</v>
      </c>
      <c r="C16" s="6"/>
      <c r="D16" s="8">
        <v>0</v>
      </c>
      <c r="E16" s="11">
        <f>252+252+252.9+760.8</f>
        <v>1517.6999999999998</v>
      </c>
      <c r="F16" s="8">
        <v>196.91</v>
      </c>
      <c r="G16" s="6">
        <v>0</v>
      </c>
      <c r="H16" s="62"/>
    </row>
    <row r="17" spans="2:8" x14ac:dyDescent="0.25">
      <c r="B17" t="s">
        <v>42</v>
      </c>
      <c r="C17" s="6"/>
      <c r="D17" s="6"/>
      <c r="E17" s="11">
        <f>69.34+160.44+110+3.8+741+194.75+19+76.94+6.65+228+51.3+266+7.6+49.4+54.5+10+26.5+44+30+36+160+200+110+198+36+65+280+678+159.39+32+64.4+40+679+102+33+3900+300+450+2222.5-3315.62</f>
        <v>8578.89</v>
      </c>
      <c r="F17" s="6"/>
      <c r="G17" s="6"/>
      <c r="H17" s="62"/>
    </row>
    <row r="18" spans="2:8" x14ac:dyDescent="0.25">
      <c r="B18" t="s">
        <v>43</v>
      </c>
      <c r="C18" s="6"/>
      <c r="D18" s="6"/>
      <c r="E18" s="11">
        <f>330+27.5+27.5+27.5+27.5+27.5+27.5+1398+55</f>
        <v>1948</v>
      </c>
      <c r="F18" s="6"/>
      <c r="G18" s="6"/>
      <c r="H18" s="62"/>
    </row>
    <row r="19" spans="2:8" ht="18.75" x14ac:dyDescent="0.3">
      <c r="B19" s="14" t="s">
        <v>44</v>
      </c>
      <c r="C19" s="42">
        <f>C6+C7+C8+C9+C10+C11+C12+C13+C14+C15+C16+C17+C18</f>
        <v>0</v>
      </c>
      <c r="D19" s="9">
        <f>SUM(D6:D18)</f>
        <v>0</v>
      </c>
      <c r="E19" s="7">
        <f>SUM(E6:E18)</f>
        <v>118389.84</v>
      </c>
      <c r="F19" s="9">
        <f>SUM(F6:F18)</f>
        <v>196.91</v>
      </c>
      <c r="G19" s="7">
        <f>SUM(G6:G18)</f>
        <v>32887.29</v>
      </c>
    </row>
    <row r="21" spans="2:8" ht="18.75" x14ac:dyDescent="0.3">
      <c r="B21" s="13" t="s">
        <v>81</v>
      </c>
      <c r="C21" s="13"/>
      <c r="D21" s="38"/>
    </row>
    <row r="22" spans="2:8" x14ac:dyDescent="0.25">
      <c r="B22" t="s">
        <v>46</v>
      </c>
      <c r="D22" s="6"/>
      <c r="E22" s="12">
        <v>19500</v>
      </c>
      <c r="F22" s="6"/>
      <c r="G22" s="6"/>
    </row>
    <row r="23" spans="2:8" x14ac:dyDescent="0.25">
      <c r="B23" s="5" t="s">
        <v>47</v>
      </c>
      <c r="C23" s="5"/>
      <c r="D23" s="6"/>
      <c r="E23" s="12">
        <v>123000</v>
      </c>
      <c r="F23" s="6"/>
      <c r="G23" s="6"/>
    </row>
    <row r="24" spans="2:8" x14ac:dyDescent="0.25">
      <c r="B24" s="5" t="s">
        <v>141</v>
      </c>
      <c r="C24" s="5"/>
      <c r="D24" s="6"/>
      <c r="E24" s="12">
        <f>25000+3940.1+1140</f>
        <v>30080.1</v>
      </c>
      <c r="F24" s="8">
        <v>840.1</v>
      </c>
      <c r="G24" s="6">
        <v>7500</v>
      </c>
    </row>
    <row r="25" spans="2:8" ht="18.75" x14ac:dyDescent="0.3">
      <c r="B25" s="13" t="s">
        <v>44</v>
      </c>
      <c r="C25" s="13"/>
      <c r="D25" s="9">
        <f>SUM(D22:D24)</f>
        <v>0</v>
      </c>
      <c r="E25" s="7">
        <f>SUM(E22+E23+E24)</f>
        <v>172580.1</v>
      </c>
      <c r="F25" s="9">
        <f>SUM(F22:F24)</f>
        <v>840.1</v>
      </c>
      <c r="G25" s="7">
        <f>SUM(G22:G24)</f>
        <v>7500</v>
      </c>
    </row>
    <row r="27" spans="2:8" ht="18.75" x14ac:dyDescent="0.3">
      <c r="B27" s="17" t="s">
        <v>83</v>
      </c>
      <c r="C27" s="17"/>
    </row>
    <row r="28" spans="2:8" x14ac:dyDescent="0.25">
      <c r="B28" t="s">
        <v>142</v>
      </c>
      <c r="D28" s="6"/>
      <c r="E28" s="18">
        <f>3984+3984+3984+5500+11000+200000+2192.48</f>
        <v>230644.48000000001</v>
      </c>
      <c r="F28" s="8">
        <v>467.48</v>
      </c>
      <c r="G28" s="6"/>
    </row>
    <row r="29" spans="2:8" ht="18.75" x14ac:dyDescent="0.3">
      <c r="B29" s="17" t="s">
        <v>44</v>
      </c>
      <c r="C29" s="17"/>
      <c r="D29" s="9">
        <f>D28</f>
        <v>0</v>
      </c>
      <c r="E29" s="7">
        <v>230644.48000000001</v>
      </c>
      <c r="F29" s="9">
        <f>F28</f>
        <v>467.48</v>
      </c>
      <c r="G29" s="7">
        <f>G28</f>
        <v>0</v>
      </c>
    </row>
    <row r="31" spans="2:8" ht="18.75" x14ac:dyDescent="0.3">
      <c r="B31" s="19" t="s">
        <v>65</v>
      </c>
      <c r="C31" s="19"/>
      <c r="D31" s="6"/>
      <c r="E31" s="6"/>
      <c r="F31" s="6"/>
      <c r="G31" s="6"/>
    </row>
    <row r="32" spans="2:8" x14ac:dyDescent="0.25">
      <c r="B32" t="s">
        <v>49</v>
      </c>
      <c r="D32" s="8">
        <v>0</v>
      </c>
      <c r="E32" s="20">
        <v>67450</v>
      </c>
      <c r="F32" s="6"/>
      <c r="G32" s="6">
        <v>0</v>
      </c>
    </row>
    <row r="33" spans="2:8" x14ac:dyDescent="0.25">
      <c r="B33" s="5" t="s">
        <v>50</v>
      </c>
      <c r="C33" s="5"/>
      <c r="D33" s="6"/>
      <c r="E33" s="20">
        <f>7284+5608.22</f>
        <v>12892.220000000001</v>
      </c>
      <c r="F33" s="8">
        <v>1474</v>
      </c>
      <c r="G33" s="6"/>
    </row>
    <row r="34" spans="2:8" x14ac:dyDescent="0.25">
      <c r="B34" s="5" t="s">
        <v>51</v>
      </c>
      <c r="C34" s="5"/>
      <c r="D34" s="6"/>
      <c r="E34" s="20">
        <v>0</v>
      </c>
      <c r="F34" s="8">
        <v>0</v>
      </c>
      <c r="G34" s="6"/>
    </row>
    <row r="35" spans="2:8" x14ac:dyDescent="0.25">
      <c r="B35" s="5" t="s">
        <v>52</v>
      </c>
      <c r="C35" s="5"/>
      <c r="D35" s="6"/>
      <c r="E35" s="20">
        <v>125</v>
      </c>
      <c r="F35" s="6"/>
      <c r="G35" s="6"/>
    </row>
    <row r="36" spans="2:8" ht="18.75" x14ac:dyDescent="0.3">
      <c r="B36" s="19" t="s">
        <v>44</v>
      </c>
      <c r="C36" s="19"/>
      <c r="D36" s="9">
        <v>0</v>
      </c>
      <c r="E36" s="7">
        <f>SUM(E32:E35)</f>
        <v>80467.22</v>
      </c>
      <c r="F36" s="9">
        <f>SUM(F32:F35)</f>
        <v>1474</v>
      </c>
      <c r="G36" s="7">
        <f>SUM(G32:G35)</f>
        <v>0</v>
      </c>
      <c r="H36" t="s">
        <v>146</v>
      </c>
    </row>
    <row r="37" spans="2:8" x14ac:dyDescent="0.25">
      <c r="D37" s="21"/>
    </row>
    <row r="38" spans="2:8" ht="18.75" x14ac:dyDescent="0.3">
      <c r="B38" s="22" t="s">
        <v>84</v>
      </c>
      <c r="C38" s="22"/>
      <c r="D38" s="23"/>
      <c r="E38" s="6"/>
      <c r="F38" s="6"/>
      <c r="G38" s="6"/>
    </row>
    <row r="39" spans="2:8" x14ac:dyDescent="0.25">
      <c r="B39" t="s">
        <v>53</v>
      </c>
      <c r="D39" s="6"/>
      <c r="E39" s="23">
        <v>26000</v>
      </c>
      <c r="F39" s="6"/>
      <c r="G39" s="6"/>
    </row>
    <row r="40" spans="2:8" x14ac:dyDescent="0.25">
      <c r="B40" s="5" t="s">
        <v>60</v>
      </c>
      <c r="C40" s="5"/>
      <c r="D40" s="8">
        <v>0</v>
      </c>
      <c r="E40" s="23">
        <v>71.599999999999994</v>
      </c>
      <c r="F40" s="6"/>
      <c r="G40" s="6"/>
    </row>
    <row r="41" spans="2:8" x14ac:dyDescent="0.25">
      <c r="B41" s="5" t="s">
        <v>80</v>
      </c>
      <c r="C41" s="5"/>
      <c r="D41" s="8"/>
      <c r="E41" s="23">
        <v>17714.21</v>
      </c>
      <c r="F41" s="8">
        <v>0</v>
      </c>
      <c r="G41" s="6">
        <v>0</v>
      </c>
    </row>
    <row r="42" spans="2:8" x14ac:dyDescent="0.25">
      <c r="B42" s="5" t="s">
        <v>143</v>
      </c>
      <c r="C42" s="5"/>
      <c r="D42" s="6"/>
      <c r="E42" s="23">
        <v>102079</v>
      </c>
      <c r="F42" s="8">
        <v>10068.459999999999</v>
      </c>
      <c r="G42" s="6"/>
    </row>
    <row r="43" spans="2:8" x14ac:dyDescent="0.25">
      <c r="D43" s="6"/>
      <c r="E43" s="23"/>
      <c r="F43" s="6"/>
      <c r="G43" s="6"/>
    </row>
    <row r="44" spans="2:8" ht="18.75" x14ac:dyDescent="0.3">
      <c r="B44" s="22" t="s">
        <v>44</v>
      </c>
      <c r="C44" s="22"/>
      <c r="D44" s="9">
        <f>SUM(D39:D43)</f>
        <v>0</v>
      </c>
      <c r="E44" s="7">
        <f>SUM(E39:E43)</f>
        <v>145864.81</v>
      </c>
      <c r="F44" s="9">
        <f>SUM(F39:F43)</f>
        <v>10068.459999999999</v>
      </c>
      <c r="G44" s="7">
        <f>SUM(G39:G43)</f>
        <v>0</v>
      </c>
    </row>
    <row r="46" spans="2:8" ht="18.75" x14ac:dyDescent="0.3">
      <c r="B46" s="25" t="s">
        <v>87</v>
      </c>
      <c r="C46" s="25"/>
    </row>
    <row r="47" spans="2:8" x14ac:dyDescent="0.25">
      <c r="B47" t="s">
        <v>54</v>
      </c>
      <c r="D47" s="6"/>
      <c r="E47" s="26">
        <f>187341.81+31463.52+159300+33208.13-32275.88</f>
        <v>379037.57999999996</v>
      </c>
      <c r="F47" s="8">
        <v>34848.5</v>
      </c>
      <c r="G47" s="6"/>
      <c r="H47" s="6"/>
    </row>
    <row r="48" spans="2:8" x14ac:dyDescent="0.25">
      <c r="B48" s="5" t="s">
        <v>55</v>
      </c>
      <c r="C48" s="5"/>
      <c r="D48" s="6"/>
      <c r="E48" s="26">
        <f>56577.24+11773.46+48108.6+10028.85-9747.31</f>
        <v>116740.84</v>
      </c>
      <c r="F48" s="8">
        <v>16036.2</v>
      </c>
      <c r="G48" s="6"/>
      <c r="H48" s="6"/>
    </row>
    <row r="49" spans="2:8" x14ac:dyDescent="0.25">
      <c r="B49" s="5" t="s">
        <v>59</v>
      </c>
      <c r="C49" s="5"/>
      <c r="D49" s="6"/>
      <c r="E49" s="26">
        <v>0</v>
      </c>
      <c r="F49" s="8">
        <v>0</v>
      </c>
      <c r="G49" s="6"/>
      <c r="H49" s="6"/>
    </row>
    <row r="50" spans="2:8" x14ac:dyDescent="0.25">
      <c r="B50" s="5" t="s">
        <v>63</v>
      </c>
      <c r="C50" s="5"/>
      <c r="D50" s="6"/>
      <c r="E50" s="26">
        <v>1150</v>
      </c>
      <c r="F50" s="6"/>
      <c r="G50" s="6"/>
      <c r="H50" s="6"/>
    </row>
    <row r="51" spans="2:8" x14ac:dyDescent="0.25">
      <c r="B51" s="5" t="s">
        <v>144</v>
      </c>
      <c r="C51" s="5"/>
      <c r="D51" s="6"/>
      <c r="E51" s="26">
        <f>822+2277</f>
        <v>3099</v>
      </c>
      <c r="F51" s="6"/>
      <c r="G51" s="6"/>
      <c r="H51" s="6"/>
    </row>
    <row r="52" spans="2:8" ht="18.75" x14ac:dyDescent="0.3">
      <c r="B52" s="25" t="s">
        <v>44</v>
      </c>
      <c r="C52" s="25"/>
      <c r="D52" s="7">
        <f>SUM(D47:D51)</f>
        <v>0</v>
      </c>
      <c r="E52" s="7">
        <f>SUM(E47:E51)</f>
        <v>500027.41999999993</v>
      </c>
      <c r="F52" s="9">
        <f>SUM(F47:F51)</f>
        <v>50884.7</v>
      </c>
      <c r="G52" s="7">
        <f>SUM(G47:G51)</f>
        <v>0</v>
      </c>
      <c r="H52" s="6"/>
    </row>
    <row r="54" spans="2:8" ht="18.75" x14ac:dyDescent="0.3">
      <c r="B54" s="24" t="s">
        <v>88</v>
      </c>
      <c r="C54" s="24"/>
      <c r="D54" s="28"/>
    </row>
    <row r="55" spans="2:8" x14ac:dyDescent="0.25">
      <c r="B55" t="s">
        <v>61</v>
      </c>
      <c r="D55" s="6"/>
      <c r="E55" s="27">
        <v>101100</v>
      </c>
      <c r="F55" s="8">
        <v>16850</v>
      </c>
      <c r="G55" s="6"/>
    </row>
    <row r="56" spans="2:8" x14ac:dyDescent="0.25">
      <c r="B56" t="s">
        <v>55</v>
      </c>
      <c r="D56" s="6"/>
      <c r="E56" s="27">
        <v>30532.2</v>
      </c>
      <c r="F56" s="8">
        <v>5088.7</v>
      </c>
      <c r="G56" s="6"/>
    </row>
    <row r="57" spans="2:8" x14ac:dyDescent="0.25">
      <c r="B57" t="s">
        <v>62</v>
      </c>
      <c r="D57" s="8">
        <v>0</v>
      </c>
      <c r="E57" s="27">
        <v>16850</v>
      </c>
      <c r="F57" s="8">
        <v>0</v>
      </c>
      <c r="G57" s="6"/>
    </row>
    <row r="58" spans="2:8" ht="18.75" x14ac:dyDescent="0.3">
      <c r="B58" s="24" t="s">
        <v>44</v>
      </c>
      <c r="C58" s="24"/>
      <c r="D58" s="9">
        <f>SUM(D55:D57)</f>
        <v>0</v>
      </c>
      <c r="E58" s="7">
        <f>SUM(E55:E57)</f>
        <v>148482.20000000001</v>
      </c>
      <c r="F58" s="9">
        <f>SUM(F55:F57)</f>
        <v>21938.7</v>
      </c>
      <c r="G58" s="7">
        <f>SUM(G55:G57)</f>
        <v>0</v>
      </c>
    </row>
    <row r="60" spans="2:8" ht="18.75" x14ac:dyDescent="0.3">
      <c r="B60" s="29" t="s">
        <v>85</v>
      </c>
      <c r="C60" s="29"/>
      <c r="D60" s="39"/>
    </row>
    <row r="61" spans="2:8" x14ac:dyDescent="0.25">
      <c r="B61" t="s">
        <v>147</v>
      </c>
      <c r="D61" s="6"/>
      <c r="E61" s="34">
        <v>35995.730000000003</v>
      </c>
      <c r="F61" s="8">
        <v>17815</v>
      </c>
      <c r="G61" s="6"/>
    </row>
    <row r="62" spans="2:8" x14ac:dyDescent="0.25">
      <c r="B62" t="s">
        <v>55</v>
      </c>
      <c r="D62" s="6"/>
      <c r="E62" s="34">
        <v>10870.71</v>
      </c>
      <c r="F62" s="8">
        <v>5380.13</v>
      </c>
      <c r="G62" s="6"/>
    </row>
    <row r="63" spans="2:8" x14ac:dyDescent="0.25">
      <c r="B63" t="s">
        <v>149</v>
      </c>
      <c r="D63" s="6"/>
      <c r="E63" s="34">
        <v>67893.649999999994</v>
      </c>
      <c r="F63" s="8">
        <v>5488.46</v>
      </c>
      <c r="G63" s="6"/>
    </row>
    <row r="64" spans="2:8" x14ac:dyDescent="0.25">
      <c r="B64" t="s">
        <v>150</v>
      </c>
      <c r="D64" s="6"/>
      <c r="E64" s="34">
        <v>8250</v>
      </c>
      <c r="F64" s="8">
        <v>8250</v>
      </c>
      <c r="G64" s="6"/>
    </row>
    <row r="65" spans="2:8" x14ac:dyDescent="0.25">
      <c r="B65" t="s">
        <v>151</v>
      </c>
      <c r="D65" s="6"/>
      <c r="E65" s="34">
        <v>75511.33</v>
      </c>
      <c r="F65" s="6"/>
      <c r="G65" s="6">
        <v>39886.83</v>
      </c>
    </row>
    <row r="66" spans="2:8" ht="18.75" x14ac:dyDescent="0.3">
      <c r="B66" s="29" t="s">
        <v>44</v>
      </c>
      <c r="C66" s="29"/>
      <c r="D66" s="9">
        <f>SUM(D61:D65)</f>
        <v>0</v>
      </c>
      <c r="E66" s="7">
        <f>SUM(E61:E65)</f>
        <v>198521.41999999998</v>
      </c>
      <c r="F66" s="9">
        <f>SUM(F61:F65)</f>
        <v>36933.589999999997</v>
      </c>
      <c r="G66" s="7">
        <f>SUM(G61:G65)</f>
        <v>39886.83</v>
      </c>
    </row>
    <row r="68" spans="2:8" ht="18.75" x14ac:dyDescent="0.3">
      <c r="B68" s="14" t="s">
        <v>86</v>
      </c>
      <c r="C68" s="14"/>
      <c r="D68" s="15"/>
    </row>
    <row r="69" spans="2:8" x14ac:dyDescent="0.25">
      <c r="B69" t="s">
        <v>152</v>
      </c>
      <c r="D69" s="6"/>
      <c r="E69" s="11">
        <f>14750+68400</f>
        <v>83150</v>
      </c>
      <c r="F69" s="6"/>
      <c r="G69" s="6">
        <v>0</v>
      </c>
    </row>
    <row r="70" spans="2:8" x14ac:dyDescent="0.25">
      <c r="B70" t="s">
        <v>70</v>
      </c>
      <c r="D70" s="6"/>
      <c r="E70" s="11">
        <v>10000</v>
      </c>
      <c r="F70" s="6"/>
      <c r="G70" s="6">
        <v>0</v>
      </c>
    </row>
    <row r="71" spans="2:8" x14ac:dyDescent="0.25">
      <c r="B71" t="s">
        <v>151</v>
      </c>
      <c r="D71" s="6"/>
      <c r="E71" s="11">
        <v>2921</v>
      </c>
      <c r="F71" s="6"/>
      <c r="G71" s="6"/>
    </row>
    <row r="72" spans="2:8" x14ac:dyDescent="0.25">
      <c r="D72" s="6"/>
      <c r="E72" s="11"/>
      <c r="F72" s="6"/>
      <c r="G72" s="6"/>
    </row>
    <row r="73" spans="2:8" x14ac:dyDescent="0.25">
      <c r="D73" s="6"/>
      <c r="E73" s="11"/>
      <c r="F73" s="6"/>
      <c r="G73" s="6"/>
    </row>
    <row r="74" spans="2:8" x14ac:dyDescent="0.25">
      <c r="D74" s="6"/>
      <c r="E74" s="11"/>
      <c r="F74" s="6"/>
      <c r="G74" s="6"/>
    </row>
    <row r="75" spans="2:8" x14ac:dyDescent="0.25">
      <c r="D75" s="6"/>
      <c r="E75" s="11"/>
      <c r="F75" s="6"/>
      <c r="G75" s="6"/>
    </row>
    <row r="76" spans="2:8" ht="18.75" x14ac:dyDescent="0.3">
      <c r="B76" s="14" t="s">
        <v>44</v>
      </c>
      <c r="C76" s="14"/>
      <c r="D76" s="9">
        <f>SUM(D69:D75)</f>
        <v>0</v>
      </c>
      <c r="E76" s="7">
        <f>SUM(E69:E75)</f>
        <v>96071</v>
      </c>
      <c r="F76" s="9">
        <f>SUM(F69:F75)</f>
        <v>0</v>
      </c>
      <c r="G76" s="7">
        <f>SUM(G69:G75)</f>
        <v>0</v>
      </c>
    </row>
    <row r="78" spans="2:8" x14ac:dyDescent="0.25">
      <c r="D78" s="6"/>
      <c r="E78" s="6"/>
      <c r="F78" s="6"/>
      <c r="G78" s="6"/>
    </row>
    <row r="79" spans="2:8" x14ac:dyDescent="0.25">
      <c r="B79" s="31"/>
      <c r="C79" s="31"/>
      <c r="D79" s="32"/>
      <c r="E79" s="32"/>
      <c r="F79" s="32"/>
      <c r="G79" s="32"/>
      <c r="H79" s="31"/>
    </row>
    <row r="80" spans="2:8" ht="18.75" x14ac:dyDescent="0.3">
      <c r="B80" s="1" t="s">
        <v>66</v>
      </c>
      <c r="C80" s="1"/>
      <c r="D80" s="9">
        <f>D19+D25+D29+D36+D44+D52+D58+D66+D76</f>
        <v>0</v>
      </c>
      <c r="E80" s="7">
        <f>E19+E25+E29+E36+E44+E52+E58+E66+E76</f>
        <v>1691048.4899999998</v>
      </c>
      <c r="F80" s="9">
        <f>F19+F25+F29+F36+F44+F52+F58+F66+F76</f>
        <v>122803.93999999999</v>
      </c>
      <c r="G80" s="7">
        <f>G19+G25+G29+G36+G44+G52+G58+G66+G76</f>
        <v>80274.12</v>
      </c>
    </row>
    <row r="81" spans="2:8" x14ac:dyDescent="0.25">
      <c r="D81" s="6"/>
      <c r="E81" s="6"/>
      <c r="F81" s="6"/>
      <c r="G81" s="6"/>
    </row>
    <row r="82" spans="2:8" ht="18.75" x14ac:dyDescent="0.3">
      <c r="B82" s="35" t="s">
        <v>67</v>
      </c>
      <c r="C82" s="35"/>
      <c r="D82" s="9">
        <v>0</v>
      </c>
      <c r="E82" s="36">
        <v>1972702.76</v>
      </c>
      <c r="F82" s="9">
        <v>255914.56</v>
      </c>
      <c r="G82" s="7"/>
    </row>
    <row r="83" spans="2:8" ht="18.75" x14ac:dyDescent="0.3">
      <c r="B83" s="37" t="s">
        <v>82</v>
      </c>
      <c r="C83" s="37"/>
      <c r="D83" s="6"/>
      <c r="E83" s="6"/>
      <c r="F83" s="6"/>
      <c r="G83" s="6"/>
    </row>
    <row r="84" spans="2:8" ht="18.75" x14ac:dyDescent="0.3">
      <c r="B84" s="1" t="s">
        <v>68</v>
      </c>
      <c r="C84" s="1"/>
      <c r="D84" s="6"/>
      <c r="E84" s="7">
        <v>1024</v>
      </c>
      <c r="F84" s="9">
        <v>847</v>
      </c>
      <c r="G84" s="6"/>
    </row>
    <row r="85" spans="2:8" x14ac:dyDescent="0.25">
      <c r="B85" s="31"/>
      <c r="C85" s="31"/>
      <c r="D85" s="31"/>
      <c r="E85" s="31"/>
      <c r="F85" s="31"/>
      <c r="G85" s="31"/>
      <c r="H85" s="31"/>
    </row>
    <row r="86" spans="2:8" ht="18.75" x14ac:dyDescent="0.3">
      <c r="B86" s="16" t="s">
        <v>71</v>
      </c>
      <c r="C86" s="16"/>
      <c r="D86" s="30"/>
      <c r="E86" s="33" t="s">
        <v>76</v>
      </c>
      <c r="F86" s="1" t="s">
        <v>77</v>
      </c>
      <c r="G86" s="1" t="s">
        <v>153</v>
      </c>
      <c r="H86" s="1" t="s">
        <v>79</v>
      </c>
    </row>
    <row r="87" spans="2:8" x14ac:dyDescent="0.25">
      <c r="B87" t="s">
        <v>72</v>
      </c>
      <c r="D87" s="6">
        <v>1801764</v>
      </c>
      <c r="E87" s="6">
        <f>E80-D80-F80+G80</f>
        <v>1648518.67</v>
      </c>
      <c r="F87" s="6"/>
      <c r="G87" s="6">
        <f>D87-E87</f>
        <v>153245.33000000007</v>
      </c>
      <c r="H87" s="6"/>
    </row>
    <row r="88" spans="2:8" x14ac:dyDescent="0.25">
      <c r="B88" s="5" t="s">
        <v>73</v>
      </c>
      <c r="C88" s="5"/>
      <c r="D88" s="6">
        <v>74764</v>
      </c>
      <c r="E88" s="6"/>
      <c r="F88" s="6"/>
      <c r="G88" s="6">
        <f>D88-E88</f>
        <v>74764</v>
      </c>
      <c r="H88" s="6"/>
    </row>
    <row r="89" spans="2:8" x14ac:dyDescent="0.25">
      <c r="B89" t="s">
        <v>74</v>
      </c>
      <c r="D89" s="6">
        <v>266206.21000000002</v>
      </c>
      <c r="E89" s="6">
        <f>E82-D82-F82+G82</f>
        <v>1716788.2</v>
      </c>
      <c r="F89" s="6"/>
      <c r="G89" s="8">
        <f>D89-E89</f>
        <v>-1450581.99</v>
      </c>
      <c r="H89" s="6"/>
    </row>
    <row r="90" spans="2:8" x14ac:dyDescent="0.25">
      <c r="B90" s="5" t="s">
        <v>75</v>
      </c>
      <c r="C90" s="5"/>
      <c r="D90" s="6">
        <v>34150</v>
      </c>
      <c r="E90" s="6">
        <f>E84-D84-F84+G84</f>
        <v>177</v>
      </c>
      <c r="F90" s="6"/>
      <c r="G90" s="6">
        <f>D90-E90</f>
        <v>33973</v>
      </c>
      <c r="H90" s="6"/>
    </row>
    <row r="91" spans="2:8" ht="18.75" x14ac:dyDescent="0.3">
      <c r="B91" s="16" t="s">
        <v>44</v>
      </c>
      <c r="C91" s="16"/>
      <c r="D91" s="7">
        <f>D87+D88+D89+D90</f>
        <v>2176884.21</v>
      </c>
      <c r="E91" s="7">
        <f>E87+E88+E89+E90</f>
        <v>3365483.87</v>
      </c>
      <c r="F91" s="7">
        <v>2059332.04</v>
      </c>
      <c r="G91" s="9">
        <f>SUM(G87+G88+G89+G90)</f>
        <v>-1188599.6599999999</v>
      </c>
      <c r="H91" s="7">
        <f>F91+D91-E91</f>
        <v>870732.37999999989</v>
      </c>
    </row>
    <row r="92" spans="2:8" x14ac:dyDescent="0.25">
      <c r="B92" s="31"/>
      <c r="C92" s="31"/>
      <c r="D92" s="31"/>
      <c r="E92" s="31"/>
      <c r="F92" s="31"/>
      <c r="G92" s="31"/>
      <c r="H92" s="3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opLeftCell="A37" workbookViewId="0">
      <selection activeCell="H24" sqref="H24"/>
    </sheetView>
  </sheetViews>
  <sheetFormatPr defaultRowHeight="15" x14ac:dyDescent="0.25"/>
  <cols>
    <col min="8" max="8" width="26.85546875" customWidth="1"/>
  </cols>
  <sheetData>
    <row r="1" spans="1:15" ht="18.75" x14ac:dyDescent="0.3">
      <c r="A1" s="1" t="s">
        <v>91</v>
      </c>
    </row>
    <row r="3" spans="1:15" ht="18.75" x14ac:dyDescent="0.3">
      <c r="A3" s="41" t="s">
        <v>92</v>
      </c>
      <c r="B3" s="15"/>
      <c r="C3" s="15"/>
      <c r="D3" s="15"/>
      <c r="E3" s="15"/>
      <c r="F3" s="15"/>
      <c r="G3" s="15"/>
    </row>
    <row r="4" spans="1:15" ht="18.75" x14ac:dyDescent="0.3">
      <c r="A4" s="2" t="s">
        <v>93</v>
      </c>
      <c r="B4" s="2"/>
      <c r="C4" s="2"/>
      <c r="D4" s="2"/>
      <c r="E4" s="2"/>
      <c r="F4" s="2"/>
      <c r="G4" s="2"/>
      <c r="H4" s="40">
        <v>590</v>
      </c>
      <c r="I4" s="2"/>
      <c r="J4" s="2"/>
      <c r="K4" s="2"/>
      <c r="L4" s="2"/>
      <c r="M4" s="2"/>
      <c r="N4" s="2"/>
      <c r="O4" s="2"/>
    </row>
    <row r="5" spans="1:15" ht="18.75" x14ac:dyDescent="0.3">
      <c r="A5" s="2" t="s">
        <v>94</v>
      </c>
      <c r="B5" s="2"/>
      <c r="C5" s="2"/>
      <c r="D5" s="2"/>
      <c r="E5" s="2"/>
      <c r="F5" s="2"/>
      <c r="G5" s="2"/>
      <c r="H5" s="40">
        <v>1680</v>
      </c>
      <c r="I5" s="2"/>
      <c r="J5" s="2"/>
      <c r="K5" s="2"/>
      <c r="L5" s="2"/>
      <c r="M5" s="2"/>
      <c r="N5" s="2"/>
      <c r="O5" s="2"/>
    </row>
    <row r="6" spans="1:15" ht="18.75" x14ac:dyDescent="0.3">
      <c r="A6" s="2" t="s">
        <v>97</v>
      </c>
      <c r="B6" s="2"/>
      <c r="C6" s="2"/>
      <c r="D6" s="2"/>
      <c r="E6" s="2"/>
      <c r="F6" s="2"/>
      <c r="G6" s="2"/>
      <c r="H6" s="40">
        <v>10000</v>
      </c>
      <c r="I6" s="2"/>
      <c r="J6" s="2"/>
      <c r="K6" s="2"/>
      <c r="L6" s="2"/>
      <c r="M6" s="2"/>
      <c r="N6" s="2"/>
      <c r="O6" s="2"/>
    </row>
    <row r="7" spans="1:15" ht="18.75" x14ac:dyDescent="0.3">
      <c r="A7" s="1" t="s">
        <v>100</v>
      </c>
      <c r="B7" s="2"/>
      <c r="C7" s="2"/>
      <c r="D7" s="2"/>
      <c r="E7" s="2"/>
      <c r="F7" s="2"/>
      <c r="G7" s="2"/>
      <c r="H7" s="42">
        <f>H4+H5+H6</f>
        <v>12270</v>
      </c>
      <c r="I7" s="2"/>
      <c r="J7" s="2"/>
      <c r="K7" s="2"/>
      <c r="L7" s="2"/>
      <c r="M7" s="2"/>
      <c r="N7" s="2"/>
      <c r="O7" s="2"/>
    </row>
    <row r="8" spans="1:15" ht="18.75" x14ac:dyDescent="0.3">
      <c r="A8" s="43" t="s">
        <v>95</v>
      </c>
      <c r="B8" s="43"/>
      <c r="C8" s="43"/>
      <c r="D8" s="43"/>
      <c r="E8" s="43"/>
      <c r="F8" s="43"/>
      <c r="G8" s="43"/>
      <c r="H8" s="40"/>
      <c r="I8" s="2"/>
      <c r="J8" s="2"/>
      <c r="K8" s="2"/>
      <c r="L8" s="2"/>
      <c r="M8" s="2"/>
      <c r="N8" s="2"/>
      <c r="O8" s="2"/>
    </row>
    <row r="9" spans="1:15" ht="18.75" x14ac:dyDescent="0.3">
      <c r="A9" s="2" t="s">
        <v>96</v>
      </c>
      <c r="B9" s="2"/>
      <c r="C9" s="2"/>
      <c r="D9" s="2"/>
      <c r="E9" s="2"/>
      <c r="F9" s="2"/>
      <c r="G9" s="2"/>
      <c r="H9" s="40">
        <f>4000+7500</f>
        <v>11500</v>
      </c>
      <c r="I9" s="2"/>
      <c r="J9" s="2"/>
      <c r="K9" s="2"/>
      <c r="L9" s="2"/>
      <c r="M9" s="2"/>
      <c r="N9" s="2"/>
      <c r="O9" s="2"/>
    </row>
    <row r="10" spans="1:15" ht="18.75" x14ac:dyDescent="0.3">
      <c r="A10" s="2" t="s">
        <v>98</v>
      </c>
      <c r="B10" s="2"/>
      <c r="C10" s="2"/>
      <c r="D10" s="2"/>
      <c r="E10" s="2"/>
      <c r="F10" s="2"/>
      <c r="G10" s="2"/>
      <c r="H10" s="40">
        <v>4300</v>
      </c>
      <c r="I10" s="2"/>
      <c r="J10" s="2"/>
      <c r="K10" s="2"/>
      <c r="L10" s="2"/>
      <c r="M10" s="2"/>
      <c r="N10" s="2"/>
      <c r="O10" s="2"/>
    </row>
    <row r="11" spans="1:15" ht="18.75" x14ac:dyDescent="0.3">
      <c r="A11" s="2" t="s">
        <v>99</v>
      </c>
      <c r="B11" s="2"/>
      <c r="C11" s="2"/>
      <c r="D11" s="2"/>
      <c r="E11" s="2"/>
      <c r="F11" s="2"/>
      <c r="G11" s="2"/>
      <c r="H11" s="40">
        <f>25000</f>
        <v>25000</v>
      </c>
      <c r="I11" s="2"/>
      <c r="J11" s="2"/>
      <c r="K11" s="2"/>
      <c r="L11" s="2"/>
      <c r="M11" s="2"/>
      <c r="N11" s="2"/>
      <c r="O11" s="2"/>
    </row>
    <row r="12" spans="1:15" ht="18.75" x14ac:dyDescent="0.3">
      <c r="A12" s="1" t="s">
        <v>100</v>
      </c>
      <c r="B12" s="2"/>
      <c r="C12" s="2"/>
      <c r="D12" s="2"/>
      <c r="E12" s="2"/>
      <c r="F12" s="2"/>
      <c r="G12" s="2"/>
      <c r="H12" s="44">
        <f>H9+H10+H11</f>
        <v>40800</v>
      </c>
      <c r="I12" s="2"/>
      <c r="J12" s="2"/>
      <c r="K12" s="2"/>
      <c r="L12" s="2"/>
      <c r="M12" s="2"/>
      <c r="N12" s="2"/>
      <c r="O12" s="2"/>
    </row>
    <row r="13" spans="1:15" ht="18.75" x14ac:dyDescent="0.3">
      <c r="A13" s="2"/>
      <c r="B13" s="2"/>
      <c r="C13" s="2"/>
      <c r="D13" s="2"/>
      <c r="E13" s="2"/>
      <c r="F13" s="2"/>
      <c r="G13" s="2"/>
      <c r="H13" s="40"/>
      <c r="I13" s="2"/>
      <c r="J13" s="2"/>
      <c r="K13" s="2"/>
      <c r="L13" s="2"/>
      <c r="M13" s="2"/>
      <c r="N13" s="2"/>
      <c r="O13" s="2"/>
    </row>
    <row r="14" spans="1:15" ht="18.75" x14ac:dyDescent="0.3">
      <c r="A14" s="46" t="s">
        <v>101</v>
      </c>
      <c r="B14" s="46"/>
      <c r="C14" s="46"/>
      <c r="D14" s="46"/>
      <c r="E14" s="46"/>
      <c r="F14" s="46"/>
      <c r="G14" s="46"/>
      <c r="H14" s="40"/>
      <c r="I14" s="2"/>
      <c r="J14" s="2"/>
      <c r="K14" s="2"/>
      <c r="L14" s="2"/>
      <c r="M14" s="2"/>
      <c r="N14" s="2"/>
      <c r="O14" s="2"/>
    </row>
    <row r="15" spans="1:15" ht="18.75" x14ac:dyDescent="0.3">
      <c r="A15" s="2" t="s">
        <v>103</v>
      </c>
      <c r="B15" s="2"/>
      <c r="C15" s="2"/>
      <c r="D15" s="2"/>
      <c r="E15" s="2"/>
      <c r="F15" s="2"/>
      <c r="G15" s="2"/>
      <c r="H15" s="40">
        <f>61200+63680+71712+11952</f>
        <v>208544</v>
      </c>
      <c r="I15" s="2"/>
      <c r="J15" s="2"/>
      <c r="K15" s="2"/>
      <c r="L15" s="2"/>
      <c r="M15" s="2"/>
      <c r="N15" s="2"/>
      <c r="O15" s="2"/>
    </row>
    <row r="16" spans="1:15" ht="18.75" x14ac:dyDescent="0.3">
      <c r="A16" s="2" t="s">
        <v>102</v>
      </c>
      <c r="B16" s="2"/>
      <c r="C16" s="2"/>
      <c r="D16" s="2"/>
      <c r="E16" s="2"/>
      <c r="F16" s="2"/>
      <c r="G16" s="2"/>
      <c r="H16" s="40">
        <f>20000+10000+10000+20000+40000</f>
        <v>100000</v>
      </c>
      <c r="I16" s="2"/>
      <c r="J16" s="2"/>
      <c r="K16" s="2"/>
      <c r="L16" s="2"/>
      <c r="M16" s="2"/>
      <c r="N16" s="2"/>
      <c r="O16" s="2"/>
    </row>
    <row r="17" spans="1:15" ht="18.75" x14ac:dyDescent="0.3">
      <c r="A17" s="2" t="s">
        <v>104</v>
      </c>
      <c r="B17" s="2"/>
      <c r="C17" s="2"/>
      <c r="D17" s="2"/>
      <c r="E17" s="2"/>
      <c r="F17" s="2"/>
      <c r="G17" s="2"/>
      <c r="H17" s="40">
        <v>4500</v>
      </c>
      <c r="I17" s="2"/>
      <c r="J17" s="2"/>
      <c r="K17" s="2"/>
      <c r="L17" s="2"/>
      <c r="M17" s="2"/>
      <c r="N17" s="2"/>
      <c r="O17" s="2"/>
    </row>
    <row r="18" spans="1:15" ht="18.75" x14ac:dyDescent="0.3">
      <c r="A18" s="1" t="s">
        <v>100</v>
      </c>
      <c r="B18" s="2"/>
      <c r="C18" s="2"/>
      <c r="D18" s="2"/>
      <c r="E18" s="2"/>
      <c r="F18" s="2"/>
      <c r="G18" s="2"/>
      <c r="H18" s="48">
        <f>H15+H16+H17</f>
        <v>313044</v>
      </c>
      <c r="I18" s="2"/>
      <c r="J18" s="2"/>
      <c r="K18" s="2"/>
      <c r="L18" s="2"/>
      <c r="M18" s="2"/>
      <c r="N18" s="2"/>
      <c r="O18" s="2"/>
    </row>
    <row r="19" spans="1:15" ht="18.75" x14ac:dyDescent="0.3">
      <c r="A19" s="2"/>
      <c r="B19" s="2"/>
      <c r="C19" s="2"/>
      <c r="D19" s="2"/>
      <c r="E19" s="2"/>
      <c r="F19" s="2"/>
      <c r="G19" s="2"/>
      <c r="H19" s="40"/>
      <c r="I19" s="2"/>
      <c r="J19" s="2"/>
      <c r="K19" s="2"/>
      <c r="L19" s="2"/>
      <c r="M19" s="2"/>
      <c r="N19" s="2"/>
      <c r="O19" s="2"/>
    </row>
    <row r="20" spans="1:15" ht="18.75" x14ac:dyDescent="0.3">
      <c r="A20" s="49" t="s">
        <v>108</v>
      </c>
      <c r="B20" s="49"/>
      <c r="C20" s="49"/>
      <c r="D20" s="49"/>
      <c r="E20" s="49"/>
      <c r="F20" s="49"/>
      <c r="G20" s="49"/>
      <c r="H20" s="40"/>
      <c r="I20" s="2"/>
      <c r="J20" s="2"/>
      <c r="K20" s="2"/>
      <c r="L20" s="2"/>
      <c r="M20" s="2"/>
      <c r="N20" s="2"/>
      <c r="O20" s="2"/>
    </row>
    <row r="21" spans="1:15" ht="18.75" x14ac:dyDescent="0.3">
      <c r="A21" s="2" t="s">
        <v>105</v>
      </c>
      <c r="B21" s="2"/>
      <c r="C21" s="2"/>
      <c r="D21" s="2"/>
      <c r="E21" s="2"/>
      <c r="F21" s="2"/>
      <c r="G21" s="2"/>
      <c r="H21" s="40">
        <f>12000+12000</f>
        <v>24000</v>
      </c>
      <c r="I21" s="2"/>
      <c r="J21" s="2"/>
      <c r="K21" s="2"/>
      <c r="L21" s="2"/>
      <c r="M21" s="2"/>
      <c r="N21" s="2"/>
      <c r="O21" s="2"/>
    </row>
    <row r="22" spans="1:15" ht="18.75" x14ac:dyDescent="0.3">
      <c r="A22" s="2" t="s">
        <v>106</v>
      </c>
      <c r="B22" s="2"/>
      <c r="C22" s="2"/>
      <c r="D22" s="2"/>
      <c r="E22" s="2"/>
      <c r="F22" s="2"/>
      <c r="G22" s="2"/>
      <c r="H22" s="40">
        <f>2000</f>
        <v>2000</v>
      </c>
      <c r="I22" s="2"/>
      <c r="J22" s="2"/>
      <c r="K22" s="2"/>
      <c r="L22" s="2"/>
      <c r="M22" s="2"/>
      <c r="N22" s="2"/>
      <c r="O22" s="2"/>
    </row>
    <row r="23" spans="1:15" ht="18.75" x14ac:dyDescent="0.3">
      <c r="A23" s="2" t="s">
        <v>107</v>
      </c>
      <c r="B23" s="2"/>
      <c r="C23" s="2"/>
      <c r="D23" s="2"/>
      <c r="E23" s="2"/>
      <c r="F23" s="2"/>
      <c r="G23" s="2"/>
      <c r="H23" s="40">
        <f>12447.44+300</f>
        <v>12747.44</v>
      </c>
      <c r="I23" s="2"/>
      <c r="J23" s="2"/>
      <c r="K23" s="2"/>
      <c r="L23" s="2"/>
      <c r="M23" s="2"/>
      <c r="N23" s="2"/>
      <c r="O23" s="2"/>
    </row>
    <row r="24" spans="1:15" ht="18.75" x14ac:dyDescent="0.3">
      <c r="A24" s="1" t="s">
        <v>100</v>
      </c>
      <c r="B24" s="2"/>
      <c r="C24" s="2"/>
      <c r="D24" s="2"/>
      <c r="E24" s="2"/>
      <c r="F24" s="2"/>
      <c r="G24" s="2"/>
      <c r="H24" s="50">
        <f>H21+H22+H23</f>
        <v>38747.440000000002</v>
      </c>
      <c r="I24" s="2"/>
      <c r="J24" s="2"/>
      <c r="K24" s="2"/>
      <c r="L24" s="2"/>
      <c r="M24" s="2"/>
      <c r="N24" s="2"/>
      <c r="O24" s="2"/>
    </row>
    <row r="25" spans="1:15" ht="18.75" x14ac:dyDescent="0.3">
      <c r="A25" s="2"/>
      <c r="B25" s="2"/>
      <c r="C25" s="2"/>
      <c r="D25" s="2"/>
      <c r="E25" s="2"/>
      <c r="F25" s="2"/>
      <c r="G25" s="2"/>
      <c r="H25" s="40"/>
      <c r="I25" s="2"/>
      <c r="J25" s="2"/>
      <c r="K25" s="2"/>
      <c r="L25" s="2"/>
      <c r="M25" s="2"/>
      <c r="N25" s="2"/>
      <c r="O25" s="2"/>
    </row>
    <row r="26" spans="1:15" ht="18.75" x14ac:dyDescent="0.3">
      <c r="A26" s="47" t="s">
        <v>109</v>
      </c>
      <c r="B26" s="47"/>
      <c r="C26" s="47"/>
      <c r="D26" s="47"/>
      <c r="E26" s="47"/>
      <c r="F26" s="47"/>
      <c r="G26" s="47"/>
      <c r="H26" s="40"/>
      <c r="I26" s="2"/>
      <c r="J26" s="2"/>
      <c r="K26" s="2"/>
      <c r="L26" s="2"/>
      <c r="M26" s="2"/>
      <c r="N26" s="2"/>
      <c r="O26" s="2"/>
    </row>
    <row r="27" spans="1:15" ht="18.75" x14ac:dyDescent="0.3">
      <c r="A27" s="2" t="s">
        <v>110</v>
      </c>
      <c r="B27" s="2"/>
      <c r="C27" s="2"/>
      <c r="D27" s="2"/>
      <c r="E27" s="2"/>
      <c r="F27" s="2"/>
      <c r="G27" s="2"/>
      <c r="H27" s="40">
        <f>120000+125000+110000+11475+32160+81300+60550+8100+14175</f>
        <v>562760</v>
      </c>
      <c r="I27" s="2"/>
      <c r="J27" s="2"/>
      <c r="K27" s="2"/>
      <c r="L27" s="2"/>
      <c r="M27" s="2"/>
      <c r="N27" s="2"/>
      <c r="O27" s="2"/>
    </row>
    <row r="28" spans="1:15" ht="18.75" x14ac:dyDescent="0.3">
      <c r="A28" s="2" t="s">
        <v>111</v>
      </c>
      <c r="B28" s="2"/>
      <c r="C28" s="2"/>
      <c r="D28" s="2"/>
      <c r="E28" s="2"/>
      <c r="F28" s="2"/>
      <c r="G28" s="2"/>
      <c r="H28" s="40">
        <v>13200</v>
      </c>
      <c r="I28" s="2"/>
      <c r="J28" s="2"/>
      <c r="K28" s="2"/>
      <c r="L28" s="2"/>
      <c r="M28" s="2"/>
      <c r="N28" s="2"/>
      <c r="O28" s="2"/>
    </row>
    <row r="29" spans="1:15" ht="18.75" x14ac:dyDescent="0.3">
      <c r="A29" s="2" t="s">
        <v>112</v>
      </c>
      <c r="B29" s="2"/>
      <c r="C29" s="2"/>
      <c r="D29" s="2"/>
      <c r="E29" s="2"/>
      <c r="F29" s="2"/>
      <c r="G29" s="2"/>
      <c r="H29" s="40">
        <v>10000</v>
      </c>
      <c r="I29" s="2"/>
      <c r="J29" s="2"/>
      <c r="K29" s="2"/>
      <c r="L29" s="2"/>
      <c r="M29" s="2"/>
      <c r="N29" s="2"/>
      <c r="O29" s="2"/>
    </row>
    <row r="30" spans="1:15" ht="18.75" x14ac:dyDescent="0.3">
      <c r="A30" s="1" t="s">
        <v>100</v>
      </c>
      <c r="B30" s="2"/>
      <c r="C30" s="2"/>
      <c r="D30" s="2"/>
      <c r="E30" s="2"/>
      <c r="F30" s="2"/>
      <c r="G30" s="2"/>
      <c r="H30" s="51">
        <f>H27+H28+H29</f>
        <v>585960</v>
      </c>
      <c r="I30" s="2"/>
      <c r="J30" s="2"/>
      <c r="K30" s="2"/>
      <c r="L30" s="2"/>
      <c r="M30" s="2"/>
      <c r="N30" s="2"/>
      <c r="O30" s="2"/>
    </row>
    <row r="31" spans="1:15" ht="18.75" x14ac:dyDescent="0.3">
      <c r="A31" s="2"/>
      <c r="B31" s="2"/>
      <c r="C31" s="2"/>
      <c r="D31" s="2"/>
      <c r="E31" s="2"/>
      <c r="F31" s="2"/>
      <c r="G31" s="2"/>
      <c r="H31" s="40"/>
      <c r="I31" s="2"/>
      <c r="J31" s="2"/>
      <c r="K31" s="2"/>
      <c r="L31" s="2"/>
      <c r="M31" s="2"/>
      <c r="N31" s="2"/>
      <c r="O31" s="2"/>
    </row>
    <row r="32" spans="1:15" ht="18.75" x14ac:dyDescent="0.3">
      <c r="A32" s="52" t="s">
        <v>115</v>
      </c>
      <c r="B32" s="52"/>
      <c r="C32" s="52"/>
      <c r="D32" s="52"/>
      <c r="E32" s="52"/>
      <c r="F32" s="52"/>
      <c r="G32" s="52"/>
      <c r="H32" s="40"/>
      <c r="I32" s="2"/>
      <c r="J32" s="2"/>
      <c r="K32" s="2"/>
      <c r="L32" s="2"/>
      <c r="M32" s="2"/>
      <c r="N32" s="2"/>
      <c r="O32" s="2"/>
    </row>
    <row r="33" spans="1:15" ht="18.75" x14ac:dyDescent="0.3">
      <c r="A33" s="2" t="s">
        <v>113</v>
      </c>
      <c r="B33" s="2"/>
      <c r="C33" s="2"/>
      <c r="D33" s="2"/>
      <c r="E33" s="2"/>
      <c r="F33" s="2"/>
      <c r="G33" s="2"/>
      <c r="H33" s="40">
        <f>35000+35000+10000</f>
        <v>80000</v>
      </c>
      <c r="I33" s="2"/>
      <c r="J33" s="2"/>
      <c r="K33" s="2"/>
      <c r="L33" s="2"/>
      <c r="M33" s="2"/>
      <c r="N33" s="2"/>
      <c r="O33" s="2"/>
    </row>
    <row r="34" spans="1:15" ht="18.75" x14ac:dyDescent="0.3">
      <c r="A34" s="2" t="s">
        <v>114</v>
      </c>
      <c r="B34" s="2"/>
      <c r="C34" s="2"/>
      <c r="D34" s="2"/>
      <c r="E34" s="2"/>
      <c r="F34" s="2"/>
      <c r="G34" s="2"/>
      <c r="H34" s="40">
        <f>14000</f>
        <v>14000</v>
      </c>
      <c r="I34" s="2"/>
      <c r="J34" s="2"/>
      <c r="K34" s="2"/>
      <c r="L34" s="2"/>
      <c r="M34" s="2"/>
      <c r="N34" s="2"/>
      <c r="O34" s="2"/>
    </row>
    <row r="35" spans="1:15" ht="18.75" x14ac:dyDescent="0.3">
      <c r="A35" s="1" t="s">
        <v>100</v>
      </c>
      <c r="B35" s="2"/>
      <c r="C35" s="2"/>
      <c r="D35" s="2"/>
      <c r="E35" s="2"/>
      <c r="F35" s="2"/>
      <c r="G35" s="2"/>
      <c r="H35" s="53">
        <f>H33+H34</f>
        <v>94000</v>
      </c>
      <c r="I35" s="2"/>
      <c r="J35" s="2"/>
      <c r="K35" s="2"/>
      <c r="L35" s="2"/>
      <c r="M35" s="2"/>
      <c r="N35" s="2"/>
      <c r="O35" s="2"/>
    </row>
    <row r="36" spans="1:15" ht="18.75" x14ac:dyDescent="0.3">
      <c r="A36" s="2"/>
      <c r="B36" s="2"/>
      <c r="C36" s="2"/>
      <c r="D36" s="2"/>
      <c r="E36" s="2"/>
      <c r="F36" s="2"/>
      <c r="G36" s="2"/>
      <c r="H36" s="40"/>
      <c r="I36" s="2"/>
      <c r="J36" s="2"/>
      <c r="K36" s="2"/>
      <c r="L36" s="2"/>
      <c r="M36" s="2"/>
      <c r="N36" s="2"/>
      <c r="O36" s="2"/>
    </row>
    <row r="37" spans="1:15" ht="18.75" x14ac:dyDescent="0.3">
      <c r="A37" s="45" t="s">
        <v>116</v>
      </c>
      <c r="B37" s="45"/>
      <c r="C37" s="45"/>
      <c r="D37" s="45"/>
      <c r="E37" s="45"/>
      <c r="F37" s="45"/>
      <c r="G37" s="45"/>
      <c r="H37" s="7"/>
      <c r="I37" s="2"/>
      <c r="J37" s="2"/>
      <c r="K37" s="2"/>
      <c r="L37" s="2"/>
      <c r="M37" s="2"/>
      <c r="N37" s="2"/>
      <c r="O37" s="2"/>
    </row>
    <row r="38" spans="1:15" ht="18.75" x14ac:dyDescent="0.3">
      <c r="A38" s="2" t="s">
        <v>117</v>
      </c>
      <c r="B38" s="2"/>
      <c r="C38" s="2"/>
      <c r="D38" s="2"/>
      <c r="E38" s="2"/>
      <c r="F38" s="2"/>
      <c r="G38" s="2"/>
      <c r="H38" s="40">
        <v>3455.14</v>
      </c>
      <c r="I38" s="2"/>
      <c r="J38" s="2"/>
      <c r="K38" s="2"/>
      <c r="L38" s="2"/>
      <c r="M38" s="2"/>
      <c r="N38" s="2"/>
      <c r="O38" s="2"/>
    </row>
    <row r="39" spans="1:15" ht="18.75" x14ac:dyDescent="0.3">
      <c r="A39" s="1" t="s">
        <v>100</v>
      </c>
      <c r="B39" s="2"/>
      <c r="C39" s="2"/>
      <c r="D39" s="2"/>
      <c r="E39" s="2"/>
      <c r="F39" s="2"/>
      <c r="G39" s="2"/>
      <c r="H39" s="54">
        <f>H38</f>
        <v>3455.14</v>
      </c>
      <c r="I39" s="2"/>
      <c r="J39" s="2"/>
      <c r="K39" s="2"/>
      <c r="L39" s="2"/>
      <c r="M39" s="2"/>
      <c r="N39" s="2"/>
      <c r="O39" s="2"/>
    </row>
    <row r="40" spans="1:15" ht="18.75" x14ac:dyDescent="0.3">
      <c r="A40" s="2"/>
      <c r="B40" s="2"/>
      <c r="C40" s="2"/>
      <c r="D40" s="2"/>
      <c r="E40" s="2"/>
      <c r="F40" s="2"/>
      <c r="G40" s="2"/>
      <c r="H40" s="40"/>
      <c r="I40" s="2"/>
      <c r="J40" s="2"/>
      <c r="K40" s="2"/>
      <c r="L40" s="2"/>
      <c r="M40" s="2"/>
      <c r="N40" s="2"/>
      <c r="O40" s="2"/>
    </row>
    <row r="41" spans="1:15" ht="18.75" x14ac:dyDescent="0.3">
      <c r="A41" s="56" t="s">
        <v>118</v>
      </c>
      <c r="B41" s="56"/>
      <c r="C41" s="56"/>
      <c r="D41" s="56"/>
      <c r="E41" s="56"/>
      <c r="F41" s="56"/>
      <c r="G41" s="56"/>
      <c r="H41" s="40"/>
      <c r="I41" s="2"/>
      <c r="J41" s="2"/>
      <c r="K41" s="2"/>
      <c r="L41" s="2"/>
      <c r="M41" s="2"/>
      <c r="N41" s="2"/>
      <c r="O41" s="2"/>
    </row>
    <row r="42" spans="1:15" ht="18.75" x14ac:dyDescent="0.3">
      <c r="A42" s="2" t="s">
        <v>119</v>
      </c>
      <c r="B42" s="2"/>
      <c r="C42" s="2"/>
      <c r="D42" s="2"/>
      <c r="E42" s="2"/>
      <c r="F42" s="2"/>
      <c r="G42" s="2"/>
      <c r="H42" s="40">
        <v>69400</v>
      </c>
      <c r="I42" s="2"/>
      <c r="J42" s="2"/>
      <c r="K42" s="2"/>
      <c r="L42" s="2"/>
      <c r="M42" s="2"/>
      <c r="N42" s="2"/>
      <c r="O42" s="2"/>
    </row>
    <row r="43" spans="1:15" ht="18.75" x14ac:dyDescent="0.3">
      <c r="A43" s="1" t="s">
        <v>100</v>
      </c>
      <c r="B43" s="2"/>
      <c r="C43" s="2"/>
      <c r="D43" s="2"/>
      <c r="E43" s="2"/>
      <c r="F43" s="2"/>
      <c r="G43" s="2"/>
      <c r="H43" s="55">
        <f>H42</f>
        <v>69400</v>
      </c>
      <c r="I43" s="2"/>
      <c r="J43" s="2"/>
      <c r="K43" s="2"/>
      <c r="L43" s="2"/>
      <c r="M43" s="2"/>
      <c r="N43" s="2"/>
      <c r="O43" s="2"/>
    </row>
    <row r="44" spans="1:15" ht="18.75" x14ac:dyDescent="0.3">
      <c r="A44" s="2"/>
      <c r="B44" s="2"/>
      <c r="C44" s="2"/>
      <c r="D44" s="2"/>
      <c r="E44" s="2"/>
      <c r="F44" s="2"/>
      <c r="G44" s="2"/>
      <c r="H44" s="40"/>
      <c r="I44" s="2"/>
      <c r="J44" s="2"/>
      <c r="K44" s="2"/>
      <c r="L44" s="2"/>
      <c r="M44" s="2"/>
      <c r="N44" s="2"/>
      <c r="O44" s="2"/>
    </row>
    <row r="45" spans="1:15" ht="18.75" x14ac:dyDescent="0.3">
      <c r="A45" s="57" t="s">
        <v>120</v>
      </c>
      <c r="B45" s="57"/>
      <c r="C45" s="57"/>
      <c r="D45" s="57"/>
      <c r="E45" s="57"/>
      <c r="F45" s="57"/>
      <c r="G45" s="57"/>
      <c r="H45" s="40"/>
      <c r="I45" s="2"/>
      <c r="J45" s="2"/>
      <c r="K45" s="2"/>
      <c r="L45" s="2"/>
      <c r="M45" s="2"/>
      <c r="N45" s="2"/>
      <c r="O45" s="2"/>
    </row>
    <row r="46" spans="1:15" ht="18.75" x14ac:dyDescent="0.3">
      <c r="A46" s="2" t="s">
        <v>121</v>
      </c>
      <c r="B46" s="2"/>
      <c r="C46" s="2"/>
      <c r="D46" s="2"/>
      <c r="E46" s="2"/>
      <c r="F46" s="2"/>
      <c r="G46" s="2"/>
      <c r="H46" s="40">
        <f>4000+4043</f>
        <v>8043</v>
      </c>
      <c r="I46" s="2"/>
      <c r="J46" s="2"/>
      <c r="K46" s="2"/>
      <c r="L46" s="2"/>
      <c r="M46" s="2"/>
      <c r="N46" s="2"/>
      <c r="O46" s="2"/>
    </row>
    <row r="47" spans="1:15" ht="18.75" x14ac:dyDescent="0.3">
      <c r="A47" s="1" t="s">
        <v>100</v>
      </c>
      <c r="B47" s="2"/>
      <c r="C47" s="2"/>
      <c r="D47" s="2"/>
      <c r="E47" s="2"/>
      <c r="F47" s="2"/>
      <c r="G47" s="2"/>
      <c r="H47" s="58">
        <f>H46</f>
        <v>8043</v>
      </c>
      <c r="I47" s="2"/>
      <c r="J47" s="2"/>
      <c r="K47" s="2"/>
      <c r="L47" s="2"/>
      <c r="M47" s="2"/>
      <c r="N47" s="2"/>
      <c r="O47" s="2"/>
    </row>
    <row r="48" spans="1:15" ht="18.7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8.75" x14ac:dyDescent="0.3">
      <c r="A49" s="43" t="s">
        <v>122</v>
      </c>
      <c r="B49" s="43"/>
      <c r="C49" s="43"/>
      <c r="D49" s="43"/>
      <c r="E49" s="43"/>
      <c r="F49" s="43"/>
      <c r="G49" s="43"/>
      <c r="H49" s="2"/>
      <c r="I49" s="2"/>
      <c r="J49" s="2"/>
      <c r="K49" s="2"/>
      <c r="L49" s="2"/>
      <c r="M49" s="2"/>
      <c r="N49" s="2"/>
      <c r="O49" s="2"/>
    </row>
    <row r="50" spans="1:15" ht="18.75" x14ac:dyDescent="0.3">
      <c r="A50" s="2" t="s">
        <v>123</v>
      </c>
      <c r="B50" s="2"/>
      <c r="C50" s="2"/>
      <c r="D50" s="2"/>
      <c r="E50" s="2"/>
      <c r="F50" s="2"/>
      <c r="G50" s="2"/>
      <c r="H50" s="2">
        <v>1935.37</v>
      </c>
      <c r="I50" s="2"/>
      <c r="J50" s="2"/>
      <c r="K50" s="2"/>
      <c r="L50" s="2"/>
      <c r="M50" s="2"/>
      <c r="N50" s="2"/>
      <c r="O50" s="2"/>
    </row>
    <row r="51" spans="1:15" ht="18.75" x14ac:dyDescent="0.3">
      <c r="A51" s="2" t="s">
        <v>124</v>
      </c>
      <c r="B51" s="2"/>
      <c r="C51" s="2"/>
      <c r="D51" s="2"/>
      <c r="E51" s="2"/>
      <c r="F51" s="2"/>
      <c r="G51" s="2"/>
      <c r="H51" s="40">
        <v>3100</v>
      </c>
      <c r="I51" s="2"/>
      <c r="J51" s="2"/>
      <c r="K51" s="2"/>
      <c r="L51" s="2"/>
      <c r="M51" s="2"/>
      <c r="N51" s="2"/>
      <c r="O51" s="2"/>
    </row>
    <row r="52" spans="1:15" ht="18.75" x14ac:dyDescent="0.3">
      <c r="A52" s="1" t="s">
        <v>100</v>
      </c>
      <c r="B52" s="2"/>
      <c r="C52" s="2"/>
      <c r="D52" s="2"/>
      <c r="E52" s="2"/>
      <c r="F52" s="2"/>
      <c r="G52" s="2"/>
      <c r="H52" s="13">
        <f>H50+H51</f>
        <v>5035.37</v>
      </c>
      <c r="I52" s="2"/>
      <c r="J52" s="2"/>
      <c r="K52" s="2"/>
      <c r="L52" s="2"/>
      <c r="M52" s="2"/>
      <c r="N52" s="2"/>
      <c r="O52" s="2"/>
    </row>
    <row r="53" spans="1:15" ht="18.7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8.75" x14ac:dyDescent="0.3">
      <c r="A54" s="41" t="s">
        <v>125</v>
      </c>
      <c r="B54" s="41"/>
      <c r="C54" s="41"/>
      <c r="D54" s="41"/>
      <c r="E54" s="41"/>
      <c r="F54" s="41"/>
      <c r="G54" s="41"/>
      <c r="H54" s="2"/>
      <c r="I54" s="2"/>
      <c r="J54" s="2"/>
      <c r="K54" s="2"/>
      <c r="L54" s="2"/>
      <c r="M54" s="2"/>
      <c r="N54" s="2"/>
      <c r="O54" s="2"/>
    </row>
    <row r="55" spans="1:15" ht="18.75" x14ac:dyDescent="0.3">
      <c r="A55" s="2" t="s">
        <v>126</v>
      </c>
      <c r="B55" s="2"/>
      <c r="C55" s="2"/>
      <c r="D55" s="2"/>
      <c r="E55" s="2"/>
      <c r="F55" s="2"/>
      <c r="G55" s="2"/>
      <c r="H55" s="40">
        <v>7500</v>
      </c>
      <c r="I55" s="2"/>
      <c r="J55" s="2"/>
      <c r="K55" s="2"/>
      <c r="L55" s="2"/>
      <c r="M55" s="2"/>
      <c r="N55" s="2"/>
      <c r="O55" s="2"/>
    </row>
    <row r="56" spans="1:15" ht="18.75" x14ac:dyDescent="0.3">
      <c r="A56" s="1" t="s">
        <v>100</v>
      </c>
      <c r="B56" s="2"/>
      <c r="C56" s="2"/>
      <c r="D56" s="2"/>
      <c r="E56" s="2"/>
      <c r="F56" s="2"/>
      <c r="G56" s="2"/>
      <c r="H56" s="42">
        <f>H55</f>
        <v>7500</v>
      </c>
      <c r="I56" s="2"/>
      <c r="J56" s="2"/>
      <c r="K56" s="2"/>
      <c r="L56" s="2"/>
      <c r="M56" s="2"/>
      <c r="N56" s="2"/>
      <c r="O56" s="2"/>
    </row>
    <row r="57" spans="1:15" ht="18.7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8.75" x14ac:dyDescent="0.3">
      <c r="A58" s="47" t="s">
        <v>127</v>
      </c>
      <c r="B58" s="47"/>
      <c r="C58" s="47"/>
      <c r="D58" s="47"/>
      <c r="E58" s="47"/>
      <c r="F58" s="47"/>
      <c r="G58" s="47"/>
      <c r="H58" s="2"/>
      <c r="I58" s="2"/>
      <c r="J58" s="2"/>
      <c r="K58" s="2"/>
      <c r="L58" s="2"/>
      <c r="M58" s="2"/>
      <c r="N58" s="2"/>
      <c r="O58" s="2"/>
    </row>
    <row r="59" spans="1:15" ht="18.75" x14ac:dyDescent="0.3">
      <c r="A59" s="2" t="s">
        <v>128</v>
      </c>
      <c r="B59" s="2"/>
      <c r="C59" s="2"/>
      <c r="D59" s="2"/>
      <c r="E59" s="2"/>
      <c r="F59" s="2"/>
      <c r="G59" s="2"/>
      <c r="H59" s="40">
        <f>8999+1510+6902+1943+5099+2761+13751+16687+11359+12492</f>
        <v>81503</v>
      </c>
      <c r="I59" s="2"/>
      <c r="J59" s="2"/>
      <c r="K59" s="2"/>
      <c r="L59" s="2"/>
      <c r="M59" s="2"/>
      <c r="N59" s="2"/>
      <c r="O59" s="2"/>
    </row>
    <row r="60" spans="1:15" ht="18.75" x14ac:dyDescent="0.3">
      <c r="A60" s="2" t="s">
        <v>129</v>
      </c>
      <c r="B60" s="2"/>
      <c r="C60" s="2"/>
      <c r="D60" s="2"/>
      <c r="E60" s="2"/>
      <c r="F60" s="2"/>
      <c r="G60" s="2"/>
      <c r="H60" s="40">
        <f>7847.98+13842.54+22198.56+28672.1+17474.8+16218.2</f>
        <v>106254.18</v>
      </c>
      <c r="I60" s="2"/>
      <c r="J60" s="2"/>
      <c r="K60" s="2"/>
      <c r="L60" s="2"/>
      <c r="M60" s="2"/>
      <c r="N60" s="2"/>
      <c r="O60" s="2"/>
    </row>
    <row r="61" spans="1:15" ht="18.75" x14ac:dyDescent="0.3">
      <c r="A61" s="2" t="s">
        <v>130</v>
      </c>
      <c r="B61" s="2"/>
      <c r="C61" s="2"/>
      <c r="D61" s="2"/>
      <c r="E61" s="2"/>
      <c r="F61" s="2"/>
      <c r="G61" s="2"/>
      <c r="H61" s="40">
        <f>150.68+78.48+138.43+221.99+286.72+174.75</f>
        <v>1051.0500000000002</v>
      </c>
      <c r="I61" s="2"/>
      <c r="J61" s="2"/>
      <c r="K61" s="2"/>
      <c r="L61" s="2"/>
      <c r="M61" s="2"/>
      <c r="N61" s="2"/>
      <c r="O61" s="2"/>
    </row>
    <row r="62" spans="1:15" ht="18.75" x14ac:dyDescent="0.3">
      <c r="A62" s="2" t="s">
        <v>131</v>
      </c>
      <c r="B62" s="2"/>
      <c r="C62" s="2"/>
      <c r="D62" s="2"/>
      <c r="E62" s="2"/>
      <c r="F62" s="2"/>
      <c r="G62" s="2"/>
      <c r="H62" s="40">
        <v>6000</v>
      </c>
      <c r="I62" s="2"/>
      <c r="J62" s="2"/>
      <c r="K62" s="2"/>
      <c r="L62" s="2"/>
      <c r="M62" s="2"/>
      <c r="N62" s="2"/>
      <c r="O62" s="2"/>
    </row>
    <row r="63" spans="1:15" ht="18.75" x14ac:dyDescent="0.3">
      <c r="A63" s="2" t="s">
        <v>132</v>
      </c>
      <c r="B63" s="2"/>
      <c r="C63" s="2"/>
      <c r="D63" s="2"/>
      <c r="E63" s="2"/>
      <c r="F63" s="2"/>
      <c r="G63" s="2"/>
      <c r="H63" s="40">
        <v>1.22</v>
      </c>
      <c r="I63" s="2"/>
      <c r="J63" s="2"/>
      <c r="K63" s="2"/>
      <c r="L63" s="2"/>
      <c r="M63" s="2"/>
      <c r="N63" s="2"/>
      <c r="O63" s="2"/>
    </row>
    <row r="64" spans="1:15" ht="18.75" x14ac:dyDescent="0.3">
      <c r="A64" s="2" t="s">
        <v>50</v>
      </c>
      <c r="B64" s="2"/>
      <c r="C64" s="2"/>
      <c r="D64" s="2"/>
      <c r="E64" s="2"/>
      <c r="F64" s="2"/>
      <c r="G64" s="2"/>
      <c r="H64" s="40">
        <f>714+713+713+714+358+716</f>
        <v>3928</v>
      </c>
      <c r="I64" s="2"/>
      <c r="J64" s="2"/>
      <c r="K64" s="2"/>
      <c r="L64" s="2"/>
      <c r="M64" s="2"/>
      <c r="N64" s="2"/>
      <c r="O64" s="2"/>
    </row>
    <row r="65" spans="1:15" ht="18.75" x14ac:dyDescent="0.3">
      <c r="A65" s="1" t="s">
        <v>100</v>
      </c>
      <c r="B65" s="2"/>
      <c r="C65" s="2"/>
      <c r="D65" s="2"/>
      <c r="E65" s="2"/>
      <c r="F65" s="2"/>
      <c r="G65" s="2"/>
      <c r="H65" s="51">
        <f>H59+H60+H61+H62+H63+H64</f>
        <v>198737.44999999998</v>
      </c>
      <c r="I65" s="2"/>
      <c r="J65" s="2"/>
      <c r="K65" s="2"/>
      <c r="L65" s="2"/>
      <c r="M65" s="2"/>
      <c r="N65" s="2"/>
      <c r="O65" s="2"/>
    </row>
    <row r="66" spans="1:15" ht="18.75" x14ac:dyDescent="0.3">
      <c r="A66" s="2"/>
      <c r="B66" s="2"/>
      <c r="C66" s="2"/>
      <c r="D66" s="2"/>
      <c r="E66" s="2"/>
      <c r="F66" s="2"/>
      <c r="G66" s="2"/>
      <c r="H66" s="40"/>
      <c r="I66" s="2"/>
      <c r="J66" s="2"/>
      <c r="K66" s="2"/>
      <c r="L66" s="2"/>
      <c r="M66" s="2"/>
      <c r="N66" s="2"/>
      <c r="O66" s="2"/>
    </row>
    <row r="67" spans="1:15" ht="18.75" x14ac:dyDescent="0.3">
      <c r="A67" s="2"/>
      <c r="B67" s="2"/>
      <c r="C67" s="2"/>
      <c r="D67" s="2"/>
      <c r="E67" s="2"/>
      <c r="F67" s="2"/>
      <c r="G67" s="2"/>
      <c r="H67" s="40"/>
      <c r="I67" s="2"/>
      <c r="J67" s="2"/>
      <c r="K67" s="2"/>
      <c r="L67" s="2"/>
      <c r="M67" s="2"/>
      <c r="N67" s="2"/>
      <c r="O67" s="2"/>
    </row>
    <row r="68" spans="1:15" ht="18.75" x14ac:dyDescent="0.3">
      <c r="A68" s="60" t="s">
        <v>133</v>
      </c>
      <c r="B68" s="61"/>
      <c r="C68" s="61"/>
      <c r="D68" s="61"/>
      <c r="E68" s="61"/>
      <c r="F68" s="61"/>
      <c r="G68" s="61"/>
      <c r="H68" s="59">
        <f>H7+H12+H18+H24+H30+H35+H39+H43+H47+H52+H56+H65</f>
        <v>1376992.4</v>
      </c>
      <c r="I68" s="2"/>
      <c r="J68" s="2"/>
      <c r="K68" s="2"/>
      <c r="L68" s="2"/>
      <c r="M68" s="2"/>
      <c r="N68" s="2"/>
      <c r="O68" s="2"/>
    </row>
    <row r="69" spans="1:15" ht="18.7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8.7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8.7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8.7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8.7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8.7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8.7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8.7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8.7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8.7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8.7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8.7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8.7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8.7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Реквизиты</vt:lpstr>
      <vt:lpstr>1 кв-л 2019</vt:lpstr>
      <vt:lpstr>2 кв-л 2019</vt:lpstr>
      <vt:lpstr>Расход по рсч2018</vt:lpstr>
      <vt:lpstr>Лист1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снт им мичурина</dc:creator>
  <cp:lastModifiedBy>снт им мичурина</cp:lastModifiedBy>
  <dcterms:created xsi:type="dcterms:W3CDTF">2018-11-09T19:13:54Z</dcterms:created>
  <dcterms:modified xsi:type="dcterms:W3CDTF">2019-09-23T19:51:46Z</dcterms:modified>
</cp:coreProperties>
</file>